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H9tpTUuUHFZiEudk5IudnVdHcgbZuG3jCCbhY7hzNkxTAWCy6c8zoGqi+KXFWwHJhCmLE9J7KBn+EMDnBGc/w==" workbookSaltValue="hPISK8SoK6iXF9OJtrDC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BU19" i="17"/>
  <c r="BW10" i="20"/>
  <c r="BV22" i="16"/>
  <c r="BU17" i="17"/>
  <c r="S22" i="17"/>
  <c r="BF20" i="11"/>
  <c r="S16" i="16"/>
  <c r="BL20" i="11"/>
  <c r="BL16" i="11"/>
  <c r="BH21" i="11"/>
  <c r="AZ25" i="11"/>
  <c r="AZ30" i="11" s="1"/>
  <c r="BK17" i="11"/>
  <c r="BM18" i="11"/>
  <c r="BH17" i="11"/>
  <c r="AQ12" i="21"/>
  <c r="BH25" i="11"/>
  <c r="BI21" i="11"/>
  <c r="T14" i="20"/>
  <c r="BB26" i="13"/>
  <c r="BD9" i="8"/>
  <c r="L10" i="2"/>
  <c r="X21" i="20"/>
  <c r="AH14" i="16"/>
  <c r="L16" i="2"/>
  <c r="L18" i="2"/>
  <c r="AO14" i="21"/>
  <c r="X16" i="16"/>
  <c r="X23" i="16" s="1"/>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BH11" i="16"/>
  <c r="BK18" i="11"/>
  <c r="BU9" i="17"/>
  <c r="T9" i="11"/>
  <c r="BH16" i="11"/>
  <c r="BF29" i="11"/>
  <c r="BF22" i="11"/>
  <c r="BM13" i="11"/>
  <c r="BL11" i="11"/>
  <c r="BL21" i="11"/>
  <c r="T18" i="16"/>
  <c r="BG21" i="11"/>
  <c r="BV28" i="16"/>
  <c r="BW13" i="20"/>
  <c r="BV21" i="16"/>
  <c r="BU29" i="17"/>
  <c r="BV11" i="16"/>
  <c r="BW11" i="20"/>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S20" i="14"/>
  <c r="V20" i="14" s="1"/>
  <c r="P18" i="17"/>
  <c r="BK19" i="11"/>
  <c r="BJ21" i="11"/>
  <c r="BI16" i="11"/>
  <c r="BG9" i="11"/>
  <c r="R18" i="20"/>
  <c r="R23" i="20" s="1"/>
  <c r="AP18" i="20"/>
  <c r="BU25" i="17"/>
  <c r="BV13" i="16"/>
  <c r="BV17" i="16"/>
  <c r="BW17" i="20"/>
  <c r="BV25" i="16"/>
  <c r="X21" i="16"/>
  <c r="S21" i="17"/>
  <c r="X13" i="16"/>
  <c r="AA11" i="16"/>
  <c r="L17" i="2"/>
  <c r="L28" i="2"/>
  <c r="BK10" i="11"/>
  <c r="BI22" i="11"/>
  <c r="BL22" i="11"/>
  <c r="BF16" i="11"/>
  <c r="Q16" i="17"/>
  <c r="BJ10" i="11"/>
  <c r="BK20" i="11"/>
  <c r="BH25" i="16"/>
  <c r="BF12" i="11"/>
  <c r="P16" i="17"/>
  <c r="AZ11" i="11"/>
  <c r="S25" i="17"/>
  <c r="BV20" i="16"/>
  <c r="S11" i="17"/>
  <c r="BU13" i="17"/>
  <c r="BW28" i="20"/>
  <c r="X12" i="17"/>
  <c r="R13" i="17"/>
  <c r="P13" i="14"/>
  <c r="R13" i="14" s="1"/>
  <c r="F11" i="16"/>
  <c r="BL11" i="16" s="1"/>
  <c r="BG17" i="13"/>
  <c r="BU20" i="17"/>
  <c r="BW16" i="20"/>
  <c r="U13" i="17"/>
  <c r="BV16" i="16"/>
  <c r="BU22" i="17"/>
  <c r="BW12" i="20"/>
  <c r="BW25" i="20"/>
  <c r="BV12" i="16"/>
  <c r="BU10" i="17"/>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F23" i="13" l="1"/>
  <c r="BJ23"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W32" i="16"/>
  <c r="U32" i="21"/>
  <c r="S32" i="17"/>
  <c r="AG32" i="16"/>
  <c r="M32" i="11"/>
  <c r="AW32" i="16"/>
  <c r="AL32" i="16"/>
  <c r="J32" i="11"/>
  <c r="AG32" i="21"/>
  <c r="AY32" i="11"/>
  <c r="R32" i="16"/>
  <c r="Q32" i="17"/>
  <c r="AN32" i="16"/>
  <c r="F32" i="16"/>
  <c r="E32" i="12"/>
  <c r="I32" i="17"/>
  <c r="F32" i="21"/>
  <c r="Z32" i="11"/>
  <c r="W32" i="17"/>
  <c r="AV32" i="16"/>
  <c r="W32" i="11"/>
  <c r="AM32" i="21"/>
  <c r="AD32" i="16"/>
  <c r="AV32" i="11"/>
  <c r="BH32" i="16"/>
  <c r="F32" i="17"/>
  <c r="O32" i="16"/>
  <c r="BD32" i="16"/>
  <c r="K32" i="16"/>
  <c r="BO32" i="16"/>
  <c r="N32" i="16"/>
  <c r="AM32" i="11"/>
  <c r="J32" i="16"/>
  <c r="AE32" i="17"/>
  <c r="AK32" i="11"/>
  <c r="AS32" i="11"/>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<sst xmlns="http://schemas.openxmlformats.org/spreadsheetml/2006/main" count="2654" uniqueCount="1183">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</sst>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1177</v>
      </c>
      <c r="B4" s="412"/>
      <c r="C4" s="412"/>
      <c r="D4" s="412"/>
      <c r="E4" s="412"/>
      <c r="F4" s="2"/>
      <c r="Q4" s="391">
        <v>2</v>
      </c>
      <c r="R4" s="391">
        <v>3</v>
      </c>
      <c r="S4" t="b">
        <f>AND(Q4&gt;=TrimIni,Q4&lt;=TrimFin)</f>
        <v>0</v>
      </c>
    </row>
    <row r="5" spans="1:19" ht="15.75" thickBot="1">
      <c r="A5" s="414" t="s">
        <v>55</v>
      </c>
      <c r="B5" s="415">
        <v>2022</v>
      </c>
      <c r="C5" s="416" t="s">
        <v>273</v>
      </c>
      <c r="D5" s="417">
        <v>4</v>
      </c>
      <c r="E5" s="418"/>
      <c r="F5" s="3"/>
      <c r="H5" t="s">
        <v>542</v>
      </c>
      <c r="Q5" s="391">
        <v>3</v>
      </c>
      <c r="R5" s="391">
        <v>2</v>
      </c>
      <c r="S5" t="b">
        <f>AND(Q5&gt;=TrimIni,Q5&lt;=TrimFin)</f>
        <v>0</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dsiOSpQ5Bf2JCc5QZcqywwYJ1yRXC4zHnTwNdLCuO8eiqwOCBTebsFM8fZNUEFAKiKojk9jJaiOFxDRTi+lbw==" saltValue="ePhACjYNAzmCmc7uw5JM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EXTREMADURA</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4 al 4</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1096</v>
      </c>
      <c r="T7" s="1523" t="s">
        <v>1097</v>
      </c>
      <c r="U7" s="1523" t="s">
        <v>1098</v>
      </c>
      <c r="V7" s="1523" t="s">
        <v>1099</v>
      </c>
      <c r="W7" s="1455" t="s">
        <v>590</v>
      </c>
      <c r="X7" s="1549" t="s">
        <v>1121</v>
      </c>
      <c r="Y7" s="1549" t="s">
        <v>1122</v>
      </c>
      <c r="Z7" s="1550" t="s">
        <v>1123</v>
      </c>
      <c r="AA7" s="1458" t="s">
        <v>590</v>
      </c>
      <c r="AB7" s="1547" t="s">
        <v>591</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17.003729796933278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62</v>
      </c>
      <c r="D10" s="239">
        <f>IF(ISNUMBER(Datos!I10),Datos!I10," - ")</f>
        <v>62</v>
      </c>
      <c r="E10" s="240">
        <f>IF(ISNUMBER(Datos!J10),Datos!J10," - ")</f>
        <v>40</v>
      </c>
      <c r="F10" s="240">
        <f>IF(ISNUMBER(Datos!K10),Datos!K10," - ")</f>
        <v>31</v>
      </c>
      <c r="G10" s="1390" t="str">
        <f>IF(Datos!E10&lt;&gt;"",Datos!E10,Datos!D10)</f>
        <v>37</v>
      </c>
      <c r="H10" s="241">
        <f>IF(ISNUMBER(Datos!L10),Datos!L10," - ")</f>
        <v>71</v>
      </c>
      <c r="I10" s="1400" t="str">
        <f>IF(ISNUMBER(Datos!AS10/Datos!BM10),Datos!AS10/Datos!BM10," - ")</f>
        <v xml:space="preserve"> - </v>
      </c>
      <c r="J10" s="1401">
        <f>IF(ISNUMBER(Datos!BY10/Datos!CN10),Datos!BY10/Datos!CN10," - ")</f>
        <v>0</v>
      </c>
      <c r="K10" s="244">
        <f t="shared" ref="K10:K13" si="1">IF(ISNUMBER((E10-F10)/C10),(E10-F10)/C10," - ")</f>
        <v>0.14516129032258066</v>
      </c>
      <c r="L10" s="1402">
        <f>IF(ISNUMBER(NºAsuntos!I10/NºAsuntos!G10),(NºAsuntos!I10/NºAsuntos!G10)*11," - ")</f>
        <v>25.193548387096776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17.173789173789174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62</v>
      </c>
      <c r="D14" s="1407">
        <f>SUBTOTAL(9,D9:D13)</f>
        <v>62</v>
      </c>
      <c r="E14" s="1408">
        <f>SUBTOTAL(9,E9:E13)</f>
        <v>40</v>
      </c>
      <c r="F14" s="1409">
        <f>SUBTOTAL(9,F9:F13)</f>
        <v>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1385</v>
      </c>
      <c r="D16" s="239">
        <f>IF(ISNUMBER(IF(D_I="SI",Datos!I16,Datos!I16+Datos!AC16)),IF(D_I="SI",Datos!I16,Datos!I16+Datos!AC16)," - ")</f>
        <v>1357</v>
      </c>
      <c r="E16" s="240">
        <f>IF(ISNUMBER(IF(D_I="SI",Datos!J16,Datos!J16+Datos!AD16)),IF(D_I="SI",Datos!J16,Datos!J16+Datos!AD16)," - ")</f>
        <v>2970</v>
      </c>
      <c r="F16" s="240">
        <f>IF(ISNUMBER(IF(D_I="SI",Datos!K16,Datos!K16+Datos!AE16)),IF(D_I="SI",Datos!K16,Datos!K16+Datos!AE16)," - ")</f>
        <v>3101</v>
      </c>
      <c r="G16" s="1390" t="str">
        <f>IF(Datos!E16&lt;&gt;"",Datos!E16,Datos!D16)</f>
        <v>03</v>
      </c>
      <c r="H16" s="241">
        <f>IF(ISNUMBER(IF(D_I="SI",Datos!L16,Datos!L16+Datos!AF16)),IF(D_I="SI",Datos!L16,Datos!L16+Datos!AF16)," - ")</f>
        <v>1254</v>
      </c>
      <c r="I16" s="1400" t="str">
        <f>IF(ISNUMBER(Datos!AS16/Datos!BM16),Datos!AS16/Datos!BM16," - ")</f>
        <v xml:space="preserve"> - </v>
      </c>
      <c r="J16" s="1401">
        <f>IF(ISNUMBER(Datos!BY16/Datos!CN16),Datos!BY16/Datos!CN16," - ")</f>
        <v>0</v>
      </c>
      <c r="K16" s="244">
        <f t="shared" ref="K16:K22" si="3">IF(ISNUMBER((E16-F16)/C16),(E16-F16)/C16," - ")</f>
        <v>-9.4584837545126352E-2</v>
      </c>
      <c r="L16" s="1402">
        <f>IF(ISNUMBER(NºAsuntos!I16/NºAsuntos!G16),(NºAsuntos!I16/NºAsuntos!G16)*11," - ")</f>
        <v>4.4482425024185748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42</v>
      </c>
      <c r="D18" s="239">
        <f>IF(ISNUMBER(IF(D_I="SI",Datos!I18,Datos!I18+Datos!AC18)),IF(D_I="SI",Datos!I18,Datos!I18+Datos!AC18)," - ")</f>
        <v>42</v>
      </c>
      <c r="E18" s="240">
        <f>IF(ISNUMBER(IF(D_I="SI",Datos!J18,Datos!J18+Datos!AD18)),IF(D_I="SI",Datos!J18,Datos!J18+Datos!AD18)," - ")</f>
        <v>216</v>
      </c>
      <c r="F18" s="240">
        <f>IF(ISNUMBER(IF(D_I="SI",Datos!K18,Datos!K18+Datos!AE18)),IF(D_I="SI",Datos!K18,Datos!K18+Datos!AE18)," - ")</f>
        <v>219</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-7.1428571428571425E-2</v>
      </c>
      <c r="L18" s="1402">
        <f>IF(ISNUMBER(NºAsuntos!I18/NºAsuntos!G18),(NºAsuntos!I18/NºAsuntos!G18)*11," - ")</f>
        <v>1.9589041095890409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1427</v>
      </c>
      <c r="D23" s="1407">
        <f>SUBTOTAL(9,D16:D22)</f>
        <v>1399</v>
      </c>
      <c r="E23" s="1408">
        <f>SUBTOTAL(9,E16:E22)</f>
        <v>3186</v>
      </c>
      <c r="F23" s="1408">
        <f>SUBTOTAL(9,F16:F22)</f>
        <v>3320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1489</v>
      </c>
      <c r="D31" s="1435">
        <f>SUBTOTAL(9,D9:D30)</f>
        <v>1461</v>
      </c>
      <c r="E31" s="1436">
        <f>SUBTOTAL(9,E9:E30)</f>
        <v>3226</v>
      </c>
      <c r="F31" s="1436">
        <f>SUBTOTAL(9,F9:F30)</f>
        <v>3351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837</v>
      </c>
      <c r="O37" s="1744"/>
      <c r="P37" s="1744"/>
      <c r="Q37" s="1744"/>
      <c r="R37" s="1744"/>
      <c r="S37" s="1744"/>
      <c r="T37" s="1744"/>
      <c r="U37" s="1744"/>
      <c r="V37" s="1744"/>
      <c r="W37" s="1744"/>
      <c r="Y37" s="1744" t="s">
        <v>838</v>
      </c>
      <c r="Z37" s="1744"/>
      <c r="AA37" s="1744"/>
      <c r="AB37" s="1744"/>
      <c r="AC37" s="1744"/>
    </row>
    <row r="39" spans="2:29">
      <c r="N39" s="1386" t="s">
        <v>839</v>
      </c>
      <c r="O39" s="1745" t="s">
        <v>840</v>
      </c>
      <c r="P39" s="1745"/>
      <c r="Q39" s="1745"/>
      <c r="R39" s="1745"/>
      <c r="S39" s="1745"/>
      <c r="T39" s="1745"/>
      <c r="U39" s="1745"/>
      <c r="V39" s="1745"/>
      <c r="W39" s="1745"/>
      <c r="Y39" s="1386" t="s">
        <v>839</v>
      </c>
      <c r="Z39" s="1746" t="s">
        <v>841</v>
      </c>
      <c r="AA39" s="1746"/>
      <c r="AB39" s="1746"/>
      <c r="AC39" s="1746"/>
    </row>
    <row r="40" spans="2:29">
      <c r="N40" s="1386" t="s">
        <v>842</v>
      </c>
      <c r="O40" s="1745" t="s">
        <v>843</v>
      </c>
      <c r="P40" s="1745"/>
      <c r="Q40" s="1745"/>
      <c r="R40" s="1745"/>
      <c r="S40" s="1745"/>
      <c r="T40" s="1745"/>
      <c r="U40" s="1745"/>
      <c r="V40" s="1745"/>
      <c r="W40" s="1745"/>
      <c r="Y40" s="1386" t="s">
        <v>842</v>
      </c>
      <c r="Z40" s="1746" t="s">
        <v>844</v>
      </c>
      <c r="AA40" s="1746"/>
      <c r="AB40" s="1746"/>
      <c r="AC40" s="1746"/>
    </row>
    <row r="41" spans="2:29">
      <c r="N41" s="1386" t="s">
        <v>845</v>
      </c>
      <c r="O41" s="1745" t="s">
        <v>846</v>
      </c>
      <c r="P41" s="1745"/>
      <c r="Q41" s="1745"/>
      <c r="R41" s="1745"/>
      <c r="S41" s="1745"/>
      <c r="T41" s="1745"/>
      <c r="U41" s="1745"/>
      <c r="V41" s="1745"/>
      <c r="W41" s="1745"/>
      <c r="Y41" s="1386" t="s">
        <v>847</v>
      </c>
      <c r="Z41" s="1746" t="s">
        <v>848</v>
      </c>
      <c r="AA41" s="1746"/>
      <c r="AB41" s="1746"/>
      <c r="AC41" s="1746"/>
    </row>
    <row r="42" spans="2:29">
      <c r="N42" s="1386" t="s">
        <v>849</v>
      </c>
      <c r="O42" s="1745" t="s">
        <v>850</v>
      </c>
      <c r="P42" s="1745"/>
      <c r="Q42" s="1745"/>
      <c r="R42" s="1745"/>
      <c r="S42" s="1745"/>
      <c r="T42" s="1745"/>
      <c r="U42" s="1745"/>
      <c r="V42" s="1745"/>
      <c r="W42" s="1745"/>
      <c r="Y42" s="1386" t="s">
        <v>851</v>
      </c>
      <c r="Z42" s="1746" t="s">
        <v>852</v>
      </c>
      <c r="AA42" s="1746"/>
      <c r="AB42" s="1746"/>
      <c r="AC42" s="1746"/>
    </row>
    <row r="43" spans="2:29">
      <c r="N43" s="1386" t="s">
        <v>939</v>
      </c>
      <c r="O43" s="1745" t="s">
        <v>940</v>
      </c>
      <c r="P43" s="1745"/>
      <c r="Q43" s="1745"/>
      <c r="R43" s="1745"/>
      <c r="S43" s="1745"/>
      <c r="T43" s="1745"/>
      <c r="U43" s="1745"/>
      <c r="V43" s="1745"/>
      <c r="W43" s="1745"/>
      <c r="Y43" s="1386" t="s">
        <v>845</v>
      </c>
      <c r="Z43" s="1746" t="s">
        <v>846</v>
      </c>
      <c r="AA43" s="1746"/>
      <c r="AB43" s="1746"/>
      <c r="AC43" s="1746"/>
    </row>
    <row r="44" spans="2:29">
      <c r="N44" s="1386" t="s">
        <v>853</v>
      </c>
      <c r="O44" s="1745" t="s">
        <v>854</v>
      </c>
      <c r="P44" s="1745"/>
      <c r="Q44" s="1745"/>
      <c r="R44" s="1745"/>
      <c r="S44" s="1745"/>
      <c r="T44" s="1745"/>
      <c r="U44" s="1745"/>
      <c r="V44" s="1745"/>
      <c r="W44" s="1745"/>
      <c r="Y44" s="1386" t="s">
        <v>849</v>
      </c>
      <c r="Z44" s="1746" t="s">
        <v>850</v>
      </c>
      <c r="AA44" s="1746"/>
      <c r="AB44" s="1746"/>
      <c r="AC44" s="1746"/>
    </row>
    <row r="45" spans="2:29">
      <c r="N45" s="1386" t="s">
        <v>855</v>
      </c>
      <c r="O45" s="1745" t="s">
        <v>856</v>
      </c>
      <c r="P45" s="1745"/>
      <c r="Q45" s="1745"/>
      <c r="R45" s="1745"/>
      <c r="S45" s="1745"/>
      <c r="T45" s="1745"/>
      <c r="U45" s="1745"/>
      <c r="V45" s="1745"/>
      <c r="W45" s="1745"/>
      <c r="Y45" s="1386" t="s">
        <v>858</v>
      </c>
      <c r="Z45" s="1746" t="s">
        <v>859</v>
      </c>
      <c r="AA45" s="1746"/>
      <c r="AB45" s="1746"/>
      <c r="AC45" s="1746"/>
    </row>
    <row r="46" spans="2:29">
      <c r="N46" s="1386" t="s">
        <v>847</v>
      </c>
      <c r="O46" s="1745" t="s">
        <v>857</v>
      </c>
      <c r="P46" s="1745"/>
      <c r="Q46" s="1745"/>
      <c r="R46" s="1745"/>
      <c r="S46" s="1745"/>
      <c r="T46" s="1745"/>
      <c r="U46" s="1745"/>
      <c r="V46" s="1745"/>
      <c r="W46" s="1745"/>
      <c r="Y46" s="1386" t="s">
        <v>861</v>
      </c>
      <c r="Z46" s="1746" t="s">
        <v>862</v>
      </c>
      <c r="AA46" s="1746"/>
      <c r="AB46" s="1746"/>
      <c r="AC46" s="1746"/>
    </row>
    <row r="47" spans="2:29">
      <c r="N47" s="1386" t="s">
        <v>851</v>
      </c>
      <c r="O47" s="1745" t="s">
        <v>860</v>
      </c>
      <c r="P47" s="1745"/>
      <c r="Q47" s="1745"/>
      <c r="R47" s="1745"/>
      <c r="S47" s="1745"/>
      <c r="T47" s="1745"/>
      <c r="U47" s="1745"/>
      <c r="V47" s="1745"/>
      <c r="W47" s="1745"/>
      <c r="Y47" s="1387" t="s">
        <v>864</v>
      </c>
      <c r="Z47" s="1747" t="s">
        <v>865</v>
      </c>
      <c r="AA47" s="1747"/>
      <c r="AB47" s="1747"/>
      <c r="AC47" s="1747"/>
    </row>
    <row r="48" spans="2:29">
      <c r="N48" s="1386" t="s">
        <v>858</v>
      </c>
      <c r="O48" s="1745" t="s">
        <v>863</v>
      </c>
      <c r="P48" s="1745"/>
      <c r="Q48" s="1745"/>
      <c r="R48" s="1745"/>
      <c r="S48" s="1745"/>
      <c r="T48" s="1745"/>
      <c r="U48" s="1745"/>
      <c r="V48" s="1745"/>
      <c r="W48" s="1745"/>
      <c r="Y48" s="1386" t="s">
        <v>853</v>
      </c>
      <c r="Z48" s="1746" t="s">
        <v>854</v>
      </c>
      <c r="AA48" s="1746"/>
      <c r="AB48" s="1746"/>
      <c r="AC48" s="1746"/>
    </row>
    <row r="49" spans="14:29">
      <c r="N49" s="1386" t="s">
        <v>866</v>
      </c>
      <c r="O49" s="1745" t="s">
        <v>867</v>
      </c>
      <c r="P49" s="1745"/>
      <c r="Q49" s="1745"/>
      <c r="R49" s="1745"/>
      <c r="S49" s="1745"/>
      <c r="T49" s="1745"/>
      <c r="U49" s="1745"/>
      <c r="V49" s="1745"/>
      <c r="W49" s="1745"/>
      <c r="Y49" s="1388" t="s">
        <v>855</v>
      </c>
      <c r="Z49" s="1749" t="s">
        <v>856</v>
      </c>
      <c r="AA49" s="1749"/>
      <c r="AB49" s="1749"/>
      <c r="AC49" s="1749"/>
    </row>
    <row r="50" spans="14:29">
      <c r="N50" s="1386" t="s">
        <v>861</v>
      </c>
      <c r="O50" s="1745" t="s">
        <v>868</v>
      </c>
      <c r="P50" s="1745"/>
      <c r="Q50" s="1745"/>
      <c r="R50" s="1745"/>
      <c r="S50" s="1745"/>
      <c r="T50" s="1745"/>
      <c r="U50" s="1745"/>
      <c r="V50" s="1745"/>
      <c r="W50" s="1745"/>
    </row>
    <row r="51" spans="14:29">
      <c r="N51" s="1388" t="s">
        <v>864</v>
      </c>
      <c r="O51" s="1748" t="s">
        <v>869</v>
      </c>
      <c r="P51" s="1748"/>
      <c r="Q51" s="1748"/>
      <c r="R51" s="1748"/>
      <c r="S51" s="1748"/>
      <c r="T51" s="1748"/>
      <c r="U51" s="1748"/>
      <c r="V51" s="1748"/>
      <c r="W51" s="1748"/>
    </row>
  </sheetData>
  <sheetProtection algorithmName="SHA-512" hashValue="tpcVxafwDNFmxV8V6yx30jMlx2V4Iyfnr8YgNFm1hduXkEtzIT2xj6uljcd33hS/oBMEpd0mkcgfPWVgqlVDfA==" saltValue="pmhUrl6WmjGJOG85sicv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8/OMJEg1M9Io6n2kjiwMRwwg30zmGXoQT62rc1Gge5Xf28SmmerTBSdDmTYdFewunfNZzIVSCC7j0EoDDRKfvw==" saltValue="AAHg4mnc4Li012Mj4cmc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1002</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v>3676</v>
      </c>
      <c r="J9" s="194">
        <v>2380</v>
      </c>
      <c r="K9" s="194">
        <v>2253</v>
      </c>
      <c r="L9" s="194">
        <v>3606</v>
      </c>
      <c r="M9" s="194">
        <v>493</v>
      </c>
      <c r="N9" s="194">
        <v>1067</v>
      </c>
      <c r="O9" s="194">
        <v>1122</v>
      </c>
      <c r="P9" s="194">
        <v>641</v>
      </c>
      <c r="Q9" s="194">
        <v>404</v>
      </c>
      <c r="R9" s="194">
        <v>7612</v>
      </c>
      <c r="S9" s="194">
        <v>3429</v>
      </c>
      <c r="T9" s="194">
        <v>1775</v>
      </c>
      <c r="U9" s="194">
        <v>1709</v>
      </c>
      <c r="V9" s="194">
        <v>3495</v>
      </c>
      <c r="W9" s="194">
        <v>457</v>
      </c>
      <c r="X9" s="201">
        <v>595</v>
      </c>
      <c r="Y9" s="204">
        <v>129</v>
      </c>
      <c r="Z9" s="194">
        <v>155</v>
      </c>
      <c r="AA9" s="194">
        <v>160</v>
      </c>
      <c r="AB9" s="194">
        <v>124</v>
      </c>
      <c r="AC9" s="194">
        <v>0</v>
      </c>
      <c r="AD9" s="194">
        <v>0</v>
      </c>
      <c r="AE9" s="194">
        <v>0</v>
      </c>
      <c r="AF9" s="201">
        <v>0</v>
      </c>
      <c r="AG9" s="204">
        <v>153</v>
      </c>
      <c r="AH9" s="194">
        <v>137</v>
      </c>
      <c r="AI9" s="194">
        <v>149</v>
      </c>
      <c r="AJ9" s="205">
        <v>141</v>
      </c>
      <c r="AK9" s="193">
        <v>0</v>
      </c>
      <c r="AL9" s="194">
        <v>0</v>
      </c>
      <c r="AM9" s="194">
        <v>0</v>
      </c>
      <c r="AN9" s="201">
        <v>0</v>
      </c>
      <c r="AO9" s="282">
        <v>6</v>
      </c>
      <c r="AP9" s="167">
        <v>6</v>
      </c>
      <c r="AQ9" s="167">
        <v>6</v>
      </c>
      <c r="AR9" s="206">
        <v>6</v>
      </c>
      <c r="AS9" s="379" t="s">
        <v>1067</v>
      </c>
      <c r="AT9" s="208"/>
      <c r="AU9" s="207"/>
      <c r="AV9" s="208"/>
      <c r="AW9" s="207"/>
      <c r="AX9" s="208"/>
      <c r="AY9" s="133">
        <f>IF(ISNUMBER(IF(J_V="SI",S9,S9+AG9)),IF(J_V="SI",S9,S9+AG9)," - ")</f>
        <v>3582</v>
      </c>
      <c r="AZ9" s="133">
        <f>IF(ISNUMBER(IF(J_V="SI",T9,T9+AH9)),IF(J_V="SI",T9,T9+AH9)," - ")</f>
        <v>1912</v>
      </c>
      <c r="BA9" s="134">
        <f>IF(ISNUMBER(IF(J_V="SI",U9,U9+AI9)),IF(J_V="SI",U9,U9+AI9)," - ")</f>
        <v>1858</v>
      </c>
      <c r="BB9" s="134">
        <f>IF(ISNUMBER(IF(J_V="SI",V9,V9+AJ9)),IF(J_V="SI",V9,V9+AJ9)," - ")</f>
        <v>3636</v>
      </c>
      <c r="BC9" s="135">
        <f>IF(ISNUMBER(X9),X9," - ")</f>
        <v>595</v>
      </c>
      <c r="BD9" s="136">
        <f>IF(ISNUMBER(BA9/AZ9),BA9/AZ9," - ")</f>
        <v>0.97175732217573219</v>
      </c>
      <c r="BE9" s="137">
        <f>IF(ISNUMBER(BB9/BA9),BB9/BA9, " - ")</f>
        <v>1.9569429494079655</v>
      </c>
      <c r="BF9" s="137">
        <f>IF(ISNUMBER(BC9/BA9),BC9/BA9, " - ")</f>
        <v>0.32023681377825619</v>
      </c>
      <c r="BG9" s="209">
        <f>IF(ISNUMBER((AY9+AZ9)/BA9),(AY9+AZ9)/BA9," - ")</f>
        <v>2.9569429494079658</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1170</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62</v>
      </c>
      <c r="J10" s="194">
        <v>40</v>
      </c>
      <c r="K10" s="194">
        <v>31</v>
      </c>
      <c r="L10" s="194">
        <v>71</v>
      </c>
      <c r="M10" s="194">
        <v>17</v>
      </c>
      <c r="N10" s="194">
        <v>6</v>
      </c>
      <c r="O10" s="194">
        <v>6</v>
      </c>
      <c r="P10" s="194">
        <v>11</v>
      </c>
      <c r="Q10" s="194">
        <v>4</v>
      </c>
      <c r="R10" s="194">
        <v>77</v>
      </c>
      <c r="S10" s="194">
        <v>49</v>
      </c>
      <c r="T10" s="194">
        <v>41</v>
      </c>
      <c r="U10" s="194">
        <v>31</v>
      </c>
      <c r="V10" s="194">
        <v>59</v>
      </c>
      <c r="W10" s="194">
        <v>15</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1061</v>
      </c>
      <c r="AT10" s="205"/>
      <c r="AU10" s="213"/>
      <c r="AV10" s="205"/>
      <c r="AW10" s="213"/>
      <c r="AX10" s="205"/>
      <c r="AY10" s="138">
        <f t="shared" ref="AY10:BC10" si="0">IF(ISNUMBER(S10),S10," - ")</f>
        <v>49</v>
      </c>
      <c r="AZ10" s="139">
        <f t="shared" si="0"/>
        <v>41</v>
      </c>
      <c r="BA10" s="139">
        <f t="shared" si="0"/>
        <v>31</v>
      </c>
      <c r="BB10" s="139">
        <f t="shared" si="0"/>
        <v>59</v>
      </c>
      <c r="BC10" s="135">
        <f t="shared" si="0"/>
        <v>15</v>
      </c>
      <c r="BD10" s="136">
        <f>IF(ISNUMBER(BA10/AZ10),BA10/AZ10," - ")</f>
        <v>0.75609756097560976</v>
      </c>
      <c r="BE10" s="137">
        <f>IF(ISNUMBER(BB10/BA10),BB10/BA10, " - ")</f>
        <v>1.903225806451613</v>
      </c>
      <c r="BF10" s="137">
        <f>IF(ISNUMBER(BC10/BA10),BC10/BA10, " - ")</f>
        <v>0.4838709677419355</v>
      </c>
      <c r="BG10" s="209">
        <f>IF(ISNUMBER((AY10+AZ10)/BA10),(AY10+AZ10)/BA10," - ")</f>
        <v>2.903225806451613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537</v>
      </c>
      <c r="J11" s="196">
        <v>309</v>
      </c>
      <c r="K11" s="196">
        <v>325</v>
      </c>
      <c r="L11" s="196">
        <v>521</v>
      </c>
      <c r="M11" s="196">
        <v>141</v>
      </c>
      <c r="N11" s="196">
        <v>128</v>
      </c>
      <c r="O11" s="194">
        <v>63</v>
      </c>
      <c r="P11" s="196">
        <v>54</v>
      </c>
      <c r="Q11" s="196">
        <v>27</v>
      </c>
      <c r="R11" s="196">
        <v>389</v>
      </c>
      <c r="S11" s="196">
        <v>588</v>
      </c>
      <c r="T11" s="196">
        <v>296</v>
      </c>
      <c r="U11" s="196">
        <v>308</v>
      </c>
      <c r="V11" s="196">
        <v>560</v>
      </c>
      <c r="W11" s="196">
        <v>168</v>
      </c>
      <c r="X11" s="202">
        <v>99</v>
      </c>
      <c r="Y11" s="204">
        <v>30</v>
      </c>
      <c r="Z11" s="194">
        <v>23</v>
      </c>
      <c r="AA11" s="194">
        <v>26</v>
      </c>
      <c r="AB11" s="194">
        <v>27</v>
      </c>
      <c r="AC11" s="196">
        <v>0</v>
      </c>
      <c r="AD11" s="196">
        <v>0</v>
      </c>
      <c r="AE11" s="196">
        <v>0</v>
      </c>
      <c r="AF11" s="202">
        <v>0</v>
      </c>
      <c r="AG11" s="215">
        <v>22</v>
      </c>
      <c r="AH11" s="196">
        <v>43</v>
      </c>
      <c r="AI11" s="196">
        <v>27</v>
      </c>
      <c r="AJ11" s="216">
        <v>38</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610</v>
      </c>
      <c r="AZ11" s="137">
        <f t="shared" si="1"/>
        <v>339</v>
      </c>
      <c r="BA11" s="137">
        <f t="shared" si="1"/>
        <v>335</v>
      </c>
      <c r="BB11" s="137">
        <f t="shared" si="1"/>
        <v>598</v>
      </c>
      <c r="BC11" s="135">
        <f>IF(ISNUMBER(X11),X11," - ")</f>
        <v>99</v>
      </c>
      <c r="BD11" s="136">
        <f t="shared" ref="BD11:BD13" si="2">IF(ISNUMBER(BA11/AZ11),BA11/AZ11," - ")</f>
        <v>0.98820058997050142</v>
      </c>
      <c r="BE11" s="137">
        <f t="shared" ref="BE11:BE13" si="3">IF(ISNUMBER(BB11/BA11),BB11/BA11, " - ")</f>
        <v>1.7850746268656716</v>
      </c>
      <c r="BF11" s="137">
        <f t="shared" ref="BF11:BF13" si="4">IF(ISNUMBER(BC11/BA11),BC11/BA11, " - ")</f>
        <v>0.29552238805970149</v>
      </c>
      <c r="BG11" s="209">
        <f t="shared" ref="BG11:BG13" si="5">IF(ISNUMBER((AY11+AZ11)/BA11),(AY11+AZ11)/BA11," - ")</f>
        <v>2.8328358208955224</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1171</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7</v>
      </c>
      <c r="J12" s="196">
        <v>0</v>
      </c>
      <c r="K12" s="196">
        <v>0</v>
      </c>
      <c r="L12" s="196">
        <v>7</v>
      </c>
      <c r="M12" s="196">
        <v>0</v>
      </c>
      <c r="N12" s="196">
        <v>0</v>
      </c>
      <c r="O12" s="194">
        <v>0</v>
      </c>
      <c r="P12" s="196">
        <v>1</v>
      </c>
      <c r="Q12" s="196">
        <v>0</v>
      </c>
      <c r="R12" s="196">
        <v>107</v>
      </c>
      <c r="S12" s="196">
        <v>14</v>
      </c>
      <c r="T12" s="196">
        <v>4</v>
      </c>
      <c r="U12" s="196">
        <v>2</v>
      </c>
      <c r="V12" s="196">
        <v>10</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14</v>
      </c>
      <c r="AZ12" s="137">
        <f t="shared" si="1"/>
        <v>4</v>
      </c>
      <c r="BA12" s="137">
        <f t="shared" si="1"/>
        <v>2</v>
      </c>
      <c r="BB12" s="137">
        <f t="shared" si="1"/>
        <v>10</v>
      </c>
      <c r="BC12" s="135">
        <f>IF(ISNUMBER(X12),X12," - ")</f>
        <v>0</v>
      </c>
      <c r="BD12" s="136">
        <f t="shared" si="2"/>
        <v>0.5</v>
      </c>
      <c r="BE12" s="137">
        <f t="shared" si="3"/>
        <v>5</v>
      </c>
      <c r="BF12" s="137">
        <f t="shared" si="4"/>
        <v>0</v>
      </c>
      <c r="BG12" s="209">
        <f t="shared" si="5"/>
        <v>9</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1172</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4282</v>
      </c>
      <c r="J14" s="197">
        <f t="shared" si="7"/>
        <v>2729</v>
      </c>
      <c r="K14" s="197">
        <f t="shared" si="7"/>
        <v>2609</v>
      </c>
      <c r="L14" s="197">
        <f t="shared" si="7"/>
        <v>4205</v>
      </c>
      <c r="M14" s="197">
        <f t="shared" si="7"/>
        <v>651</v>
      </c>
      <c r="N14" s="197">
        <f t="shared" si="7"/>
        <v>1201</v>
      </c>
      <c r="O14" s="197">
        <f t="shared" si="7"/>
        <v>1191</v>
      </c>
      <c r="P14" s="197">
        <f t="shared" si="7"/>
        <v>707</v>
      </c>
      <c r="Q14" s="197">
        <f t="shared" si="7"/>
        <v>435</v>
      </c>
      <c r="R14" s="197">
        <f t="shared" si="7"/>
        <v>8185</v>
      </c>
      <c r="S14" s="197">
        <f t="shared" si="7"/>
        <v>4080</v>
      </c>
      <c r="T14" s="197">
        <f t="shared" si="7"/>
        <v>2116</v>
      </c>
      <c r="U14" s="197">
        <f t="shared" si="7"/>
        <v>2050</v>
      </c>
      <c r="V14" s="197">
        <f t="shared" si="7"/>
        <v>4124</v>
      </c>
      <c r="W14" s="197">
        <f t="shared" si="7"/>
        <v>640</v>
      </c>
      <c r="X14" s="197">
        <f t="shared" si="7"/>
        <v>706</v>
      </c>
      <c r="Y14" s="197">
        <f t="shared" si="7"/>
        <v>159</v>
      </c>
      <c r="Z14" s="197">
        <f t="shared" si="7"/>
        <v>178</v>
      </c>
      <c r="AA14" s="197">
        <f t="shared" si="7"/>
        <v>186</v>
      </c>
      <c r="AB14" s="197">
        <f t="shared" si="7"/>
        <v>151</v>
      </c>
      <c r="AC14" s="197">
        <f t="shared" si="7"/>
        <v>0</v>
      </c>
      <c r="AD14" s="197">
        <f t="shared" si="7"/>
        <v>0</v>
      </c>
      <c r="AE14" s="197">
        <f t="shared" si="7"/>
        <v>0</v>
      </c>
      <c r="AF14" s="197">
        <f>SUBTOTAL(9,AF9:AF13)</f>
        <v>0</v>
      </c>
      <c r="AG14" s="197">
        <f t="shared" ref="AG14:AT14" si="8">SUBTOTAL(9,AG8:AG13)</f>
        <v>175</v>
      </c>
      <c r="AH14" s="197">
        <f t="shared" si="8"/>
        <v>180</v>
      </c>
      <c r="AI14" s="197">
        <f t="shared" si="8"/>
        <v>176</v>
      </c>
      <c r="AJ14" s="197">
        <f t="shared" si="8"/>
        <v>179</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4255</v>
      </c>
      <c r="AZ14" s="197">
        <f>SUBTOTAL(9,AZ8:AZ13)</f>
        <v>2296</v>
      </c>
      <c r="BA14" s="197">
        <f>SUBTOTAL(9,BA8:BA13)</f>
        <v>2226</v>
      </c>
      <c r="BB14" s="197">
        <f>SUBTOTAL(9,BB8:BB13)</f>
        <v>4303</v>
      </c>
      <c r="BC14" s="197">
        <f>SUBTOTAL(9,BC8:BC13)</f>
        <v>709</v>
      </c>
      <c r="BD14" s="219">
        <f>IF(ISNUMBER(BA14/AZ14),BA14/AZ14," - ")</f>
        <v>0.96951219512195119</v>
      </c>
      <c r="BE14" s="220">
        <f>IF(ISNUMBER(BB14/BA14),BB14/BA14, " - ")</f>
        <v>1.9330637915543576</v>
      </c>
      <c r="BF14" s="220">
        <f>IF(ISNUMBER(BC14/BA14),BC14/BA14, " - ")</f>
        <v>0.31850853548966757</v>
      </c>
      <c r="BG14" s="221">
        <f>IF(ISNUMBER((AY14+AZ14)/BA14),(AY14+AZ14)/BA14," - ")</f>
        <v>2.9429469901168015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1357</v>
      </c>
      <c r="J16" s="196">
        <v>2970</v>
      </c>
      <c r="K16" s="196">
        <v>3101</v>
      </c>
      <c r="L16" s="196">
        <v>1254</v>
      </c>
      <c r="M16" s="196">
        <v>381</v>
      </c>
      <c r="N16" s="196">
        <v>1975</v>
      </c>
      <c r="O16" s="194">
        <v>24</v>
      </c>
      <c r="P16" s="196">
        <v>123</v>
      </c>
      <c r="Q16" s="196">
        <v>130</v>
      </c>
      <c r="R16" s="196">
        <v>174</v>
      </c>
      <c r="S16" s="196">
        <v>1396</v>
      </c>
      <c r="T16" s="196">
        <v>2600</v>
      </c>
      <c r="U16" s="196">
        <v>2737</v>
      </c>
      <c r="V16" s="196">
        <v>1289</v>
      </c>
      <c r="W16" s="196">
        <v>404</v>
      </c>
      <c r="X16" s="202">
        <v>1702</v>
      </c>
      <c r="Y16" s="215">
        <v>0</v>
      </c>
      <c r="Z16" s="196">
        <v>0</v>
      </c>
      <c r="AA16" s="196">
        <v>0</v>
      </c>
      <c r="AB16" s="196">
        <v>0</v>
      </c>
      <c r="AC16" s="196">
        <v>1</v>
      </c>
      <c r="AD16" s="196">
        <v>222</v>
      </c>
      <c r="AE16" s="196">
        <v>220</v>
      </c>
      <c r="AF16" s="202">
        <v>3</v>
      </c>
      <c r="AG16" s="215">
        <v>0</v>
      </c>
      <c r="AH16" s="196">
        <v>0</v>
      </c>
      <c r="AI16" s="196">
        <v>0</v>
      </c>
      <c r="AJ16" s="216">
        <v>0</v>
      </c>
      <c r="AK16" s="195">
        <v>4</v>
      </c>
      <c r="AL16" s="196">
        <v>235</v>
      </c>
      <c r="AM16" s="196">
        <v>237</v>
      </c>
      <c r="AN16" s="202">
        <v>2</v>
      </c>
      <c r="AO16" s="283">
        <v>4</v>
      </c>
      <c r="AP16" s="168">
        <v>4</v>
      </c>
      <c r="AQ16" s="168">
        <v>4</v>
      </c>
      <c r="AR16" s="168">
        <v>4</v>
      </c>
      <c r="AS16" s="381" t="s">
        <v>697</v>
      </c>
      <c r="AT16" s="216" t="s">
        <v>420</v>
      </c>
      <c r="AU16" s="215"/>
      <c r="AV16" s="216"/>
      <c r="AW16" s="215"/>
      <c r="AX16" s="216"/>
      <c r="AY16" s="138">
        <f t="shared" ref="AY16:BB17" si="10">IF(ISNUMBER(IF(D_I="SI",S16,S16+AK16)),IF(D_I="SI",S16,S16+AK16)," - ")</f>
        <v>1396</v>
      </c>
      <c r="AZ16" s="139">
        <f t="shared" si="10"/>
        <v>2600</v>
      </c>
      <c r="BA16" s="139">
        <f t="shared" si="10"/>
        <v>2737</v>
      </c>
      <c r="BB16" s="139">
        <f t="shared" si="10"/>
        <v>1289</v>
      </c>
      <c r="BC16" s="135">
        <f>IF(ISNUMBER(W16),W16," - ")</f>
        <v>404</v>
      </c>
      <c r="BD16" s="136">
        <f>IF(ISNUMBER(BA16/AZ16),BA16/AZ16," - ")</f>
        <v>1.0526923076923076</v>
      </c>
      <c r="BE16" s="137">
        <f>IF(ISNUMBER(BB16/BA16),BB16/BA16, " - ")</f>
        <v>0.47095359883083671</v>
      </c>
      <c r="BF16" s="137">
        <f>IF(ISNUMBER(BC16/BA16),BC16/BA16, " - ")</f>
        <v>0.14760686883449031</v>
      </c>
      <c r="BG16" s="209">
        <f t="shared" ref="BG16:BG22" si="11">IF(ISNUMBER((AY16+AZ16)/BA16),(AY16+AZ16)/BA16," - ")</f>
        <v>1.4599926927292657</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42</v>
      </c>
      <c r="J18" s="196">
        <v>216</v>
      </c>
      <c r="K18" s="196">
        <v>219</v>
      </c>
      <c r="L18" s="196">
        <v>39</v>
      </c>
      <c r="M18" s="196">
        <v>44</v>
      </c>
      <c r="N18" s="196">
        <v>144</v>
      </c>
      <c r="O18" s="196">
        <v>5</v>
      </c>
      <c r="P18" s="196">
        <v>6</v>
      </c>
      <c r="Q18" s="196">
        <v>5</v>
      </c>
      <c r="R18" s="196">
        <v>17</v>
      </c>
      <c r="S18" s="196">
        <v>64</v>
      </c>
      <c r="T18" s="196">
        <v>220</v>
      </c>
      <c r="U18" s="196">
        <v>229</v>
      </c>
      <c r="V18" s="196">
        <v>55</v>
      </c>
      <c r="W18" s="196">
        <v>44</v>
      </c>
      <c r="X18" s="202">
        <v>113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1060</v>
      </c>
      <c r="AT18" s="223"/>
      <c r="AU18" s="213"/>
      <c r="AV18" s="223"/>
      <c r="AW18" s="213"/>
      <c r="AX18" s="223"/>
      <c r="AY18" s="138">
        <f t="shared" ref="AY18:BB19" si="15">IF(ISNUMBER(S18),S18," - ")</f>
        <v>64</v>
      </c>
      <c r="AZ18" s="139">
        <f t="shared" si="15"/>
        <v>220</v>
      </c>
      <c r="BA18" s="139">
        <f t="shared" si="15"/>
        <v>229</v>
      </c>
      <c r="BB18" s="139">
        <f t="shared" si="15"/>
        <v>55</v>
      </c>
      <c r="BC18" s="135">
        <f>IF(ISNUMBER(W18),W18," - ")</f>
        <v>44</v>
      </c>
      <c r="BD18" s="136">
        <f>IF(ISNUMBER(BA18/AZ18),BA18/AZ18," - ")</f>
        <v>1.040909090909091</v>
      </c>
      <c r="BE18" s="137">
        <f>IF(ISNUMBER(BB18/BA18),BB18/BA18, " - ")</f>
        <v>0.24017467248908297</v>
      </c>
      <c r="BF18" s="137">
        <f>IF(ISNUMBER(BC18/BA18),BC18/BA18, " - ")</f>
        <v>0.19213973799126638</v>
      </c>
      <c r="BG18" s="209">
        <f>IF(ISNUMBER((AY18+AZ18)/BA18),(AY18+AZ18)/BA18," - ")</f>
        <v>1.240174672489083</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1399</v>
      </c>
      <c r="J23" s="197">
        <f t="shared" si="21"/>
        <v>3186</v>
      </c>
      <c r="K23" s="197">
        <f t="shared" si="21"/>
        <v>3320</v>
      </c>
      <c r="L23" s="197">
        <f t="shared" si="21"/>
        <v>1293</v>
      </c>
      <c r="M23" s="197">
        <f t="shared" si="21"/>
        <v>425</v>
      </c>
      <c r="N23" s="197">
        <f t="shared" si="21"/>
        <v>2119</v>
      </c>
      <c r="O23" s="197">
        <f t="shared" si="21"/>
        <v>29</v>
      </c>
      <c r="P23" s="197">
        <f t="shared" si="21"/>
        <v>129</v>
      </c>
      <c r="Q23" s="197">
        <f t="shared" si="21"/>
        <v>135</v>
      </c>
      <c r="R23" s="197">
        <f t="shared" si="21"/>
        <v>191</v>
      </c>
      <c r="S23" s="197">
        <f t="shared" si="21"/>
        <v>1460</v>
      </c>
      <c r="T23" s="197">
        <f t="shared" si="21"/>
        <v>2820</v>
      </c>
      <c r="U23" s="197">
        <f t="shared" si="21"/>
        <v>2966</v>
      </c>
      <c r="V23" s="197">
        <f t="shared" si="21"/>
        <v>1344</v>
      </c>
      <c r="W23" s="197">
        <f t="shared" si="21"/>
        <v>448</v>
      </c>
      <c r="X23" s="197">
        <f t="shared" si="21"/>
        <v>1815</v>
      </c>
      <c r="Y23" s="197">
        <f t="shared" si="21"/>
        <v>0</v>
      </c>
      <c r="Z23" s="197">
        <f t="shared" si="21"/>
        <v>0</v>
      </c>
      <c r="AA23" s="197">
        <f t="shared" si="21"/>
        <v>0</v>
      </c>
      <c r="AB23" s="197">
        <f t="shared" si="21"/>
        <v>0</v>
      </c>
      <c r="AC23" s="197">
        <f t="shared" si="21"/>
        <v>1</v>
      </c>
      <c r="AD23" s="197">
        <f t="shared" si="21"/>
        <v>222</v>
      </c>
      <c r="AE23" s="197">
        <f t="shared" si="21"/>
        <v>220</v>
      </c>
      <c r="AF23" s="197">
        <f t="shared" si="21"/>
        <v>3</v>
      </c>
      <c r="AG23" s="197">
        <f t="shared" si="21"/>
        <v>0</v>
      </c>
      <c r="AH23" s="197">
        <f t="shared" si="21"/>
        <v>0</v>
      </c>
      <c r="AI23" s="197">
        <f t="shared" si="21"/>
        <v>0</v>
      </c>
      <c r="AJ23" s="197">
        <f t="shared" si="21"/>
        <v>0</v>
      </c>
      <c r="AK23" s="197">
        <f t="shared" si="21"/>
        <v>4</v>
      </c>
      <c r="AL23" s="197">
        <f t="shared" si="21"/>
        <v>235</v>
      </c>
      <c r="AM23" s="197">
        <f t="shared" si="21"/>
        <v>237</v>
      </c>
      <c r="AN23" s="197">
        <f t="shared" si="21"/>
        <v>2</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1460</v>
      </c>
      <c r="AZ23" s="197">
        <f>SUBTOTAL(9,AZ15:AZ22)</f>
        <v>2820</v>
      </c>
      <c r="BA23" s="197">
        <f>SUBTOTAL(9,BA15:BA22)</f>
        <v>2966</v>
      </c>
      <c r="BB23" s="197">
        <f>SUBTOTAL(9,BB15:BB22)</f>
        <v>1344</v>
      </c>
      <c r="BC23" s="197">
        <f>SUBTOTAL(9,BC15:BC22)</f>
        <v>448</v>
      </c>
      <c r="BD23" s="219">
        <f>IF(ISNUMBER(BA23/AZ23),BA23/AZ23," - ")</f>
        <v>1.0517730496453901</v>
      </c>
      <c r="BE23" s="220">
        <f>IF(ISNUMBER(BB23/BA23),BB23/BA23, " - ")</f>
        <v>0.45313553607552259</v>
      </c>
      <c r="BF23" s="220">
        <f>IF(ISNUMBER(BC23/BA23),BC23/BA23, " - ")</f>
        <v>0.15104517869184086</v>
      </c>
      <c r="BG23" s="221">
        <f>IF(ISNUMBER((AY23+AZ23)/BA23),(AY23+AZ23)/BA23," - ")</f>
        <v>1.4430209035738368</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1128</v>
      </c>
      <c r="Q28" s="196" t="s">
        <v>1129</v>
      </c>
      <c r="R28" s="196" t="s">
        <v>1130</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5681</v>
      </c>
      <c r="J31" s="144">
        <f t="shared" si="36"/>
        <v>5915</v>
      </c>
      <c r="K31" s="144">
        <f t="shared" si="36"/>
        <v>5929</v>
      </c>
      <c r="L31" s="144">
        <f t="shared" si="36"/>
        <v>5498</v>
      </c>
      <c r="M31" s="144">
        <f t="shared" si="36"/>
        <v>1076</v>
      </c>
      <c r="N31" s="144">
        <f t="shared" si="36"/>
        <v>3320</v>
      </c>
      <c r="O31" s="144">
        <f t="shared" si="36"/>
        <v>1220</v>
      </c>
      <c r="P31" s="144">
        <f t="shared" si="36"/>
        <v>836</v>
      </c>
      <c r="Q31" s="144">
        <f t="shared" si="36"/>
        <v>570</v>
      </c>
      <c r="R31" s="144">
        <f t="shared" si="36"/>
        <v>8376</v>
      </c>
      <c r="S31" s="144">
        <f t="shared" si="36"/>
        <v>5540</v>
      </c>
      <c r="T31" s="144">
        <f t="shared" si="36"/>
        <v>4936</v>
      </c>
      <c r="U31" s="144">
        <f t="shared" si="36"/>
        <v>5016</v>
      </c>
      <c r="V31" s="144">
        <f t="shared" si="36"/>
        <v>5468</v>
      </c>
      <c r="W31" s="144">
        <f t="shared" si="36"/>
        <v>1088</v>
      </c>
      <c r="X31" s="144">
        <f t="shared" si="36"/>
        <v>2521</v>
      </c>
      <c r="Y31" s="144">
        <f t="shared" si="36"/>
        <v>159</v>
      </c>
      <c r="Z31" s="144">
        <f t="shared" si="36"/>
        <v>178</v>
      </c>
      <c r="AA31" s="144">
        <f t="shared" si="36"/>
        <v>186</v>
      </c>
      <c r="AB31" s="144">
        <f t="shared" si="36"/>
        <v>151</v>
      </c>
      <c r="AC31" s="144">
        <f t="shared" si="36"/>
        <v>1</v>
      </c>
      <c r="AD31" s="144">
        <f t="shared" si="36"/>
        <v>222</v>
      </c>
      <c r="AE31" s="144">
        <f t="shared" si="36"/>
        <v>220</v>
      </c>
      <c r="AF31" s="144">
        <f t="shared" si="36"/>
        <v>3</v>
      </c>
      <c r="AG31" s="144">
        <f t="shared" si="36"/>
        <v>175</v>
      </c>
      <c r="AH31" s="144">
        <f t="shared" si="36"/>
        <v>180</v>
      </c>
      <c r="AI31" s="144">
        <f t="shared" si="36"/>
        <v>176</v>
      </c>
      <c r="AJ31" s="144">
        <f t="shared" si="36"/>
        <v>179</v>
      </c>
      <c r="AK31" s="144">
        <f t="shared" si="36"/>
        <v>4</v>
      </c>
      <c r="AL31" s="144">
        <f t="shared" si="36"/>
        <v>235</v>
      </c>
      <c r="AM31" s="144">
        <f t="shared" si="36"/>
        <v>237</v>
      </c>
      <c r="AN31" s="224">
        <f t="shared" si="36"/>
        <v>2</v>
      </c>
      <c r="AO31" s="225">
        <v>12</v>
      </c>
      <c r="AP31" s="225">
        <v>12</v>
      </c>
      <c r="AQ31" s="225">
        <v>12</v>
      </c>
      <c r="AR31" s="225">
        <v>12</v>
      </c>
      <c r="AS31" s="166">
        <f t="shared" si="36"/>
        <v>0</v>
      </c>
      <c r="AT31" s="166">
        <f t="shared" si="36"/>
        <v>0</v>
      </c>
      <c r="AU31" s="225"/>
      <c r="AV31" s="226"/>
      <c r="AW31" s="225"/>
      <c r="AX31" s="226"/>
      <c r="AY31" s="143">
        <f>SUBTOTAL(9,AY9:AY30)</f>
        <v>5715</v>
      </c>
      <c r="AZ31" s="144">
        <f>SUBTOTAL(9,AZ9:AZ30)</f>
        <v>5116</v>
      </c>
      <c r="BA31" s="144">
        <f>SUBTOTAL(9,BA9:BA30)</f>
        <v>5192</v>
      </c>
      <c r="BB31" s="144">
        <f>SUBTOTAL(9,BB9:BB30)</f>
        <v>5647</v>
      </c>
      <c r="BC31" s="145">
        <f>SUBTOTAL(9,BC9:BC30)</f>
        <v>1157</v>
      </c>
      <c r="BD31" s="227">
        <f>IF(ISNUMBER(BA31/AZ31),BA31/AZ31," - ")</f>
        <v>1.0148553557466771</v>
      </c>
      <c r="BE31" s="224">
        <f>IF(ISNUMBER(BB31/BA31),BB31/BA31, " - ")</f>
        <v>1.0876348228043142</v>
      </c>
      <c r="BF31" s="224">
        <f>IF(ISNUMBER(BC31/BA31),BC31/BA31, " - ")</f>
        <v>0.22284283513097072</v>
      </c>
      <c r="BG31" s="145">
        <f>IF(ISNUMBER((AY31+AZ31)/BA31),(AY31+AZ31)/BA31," - ")</f>
        <v>2.0860939907550078</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fecCHWaZ9IVTCi3+iYBx95b+FM+4EdCWb/kfA1tZ3J1+UF+1zmKnNcJUFnF8DuCNFCALy4HzLCOy6kW/lAMcA==" saltValue="ww/GM7kn8EUo2jsgzo6B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638</v>
      </c>
      <c r="DM5" s="1848" t="s">
        <v>709</v>
      </c>
      <c r="DN5" s="1848" t="s">
        <v>710</v>
      </c>
      <c r="DO5" s="1848" t="s">
        <v>711</v>
      </c>
      <c r="DP5" s="1848" t="s">
        <v>712</v>
      </c>
      <c r="DQ5" s="1848" t="s">
        <v>713</v>
      </c>
      <c r="DR5" s="1848" t="s">
        <v>714</v>
      </c>
      <c r="DS5" s="1848" t="s">
        <v>715</v>
      </c>
      <c r="DT5" s="1848" t="s">
        <v>716</v>
      </c>
      <c r="DU5" s="1861" t="s">
        <v>717</v>
      </c>
      <c r="DV5" s="1861" t="s">
        <v>718</v>
      </c>
      <c r="DW5" s="1858" t="s">
        <v>719</v>
      </c>
      <c r="DX5" s="1848" t="s">
        <v>720</v>
      </c>
      <c r="DY5" s="1855" t="s">
        <v>721</v>
      </c>
      <c r="DZ5" s="1858" t="s">
        <v>722</v>
      </c>
      <c r="EA5" s="1855" t="s">
        <v>723</v>
      </c>
      <c r="EB5" s="1852" t="s">
        <v>783</v>
      </c>
      <c r="EC5" s="1852" t="s">
        <v>820</v>
      </c>
      <c r="ED5" s="1852" t="s">
        <v>785</v>
      </c>
      <c r="EE5" s="1852" t="s">
        <v>825</v>
      </c>
      <c r="EF5" s="1852" t="s">
        <v>826</v>
      </c>
      <c r="EG5" s="1855" t="s">
        <v>827</v>
      </c>
      <c r="EH5" s="1855" t="s">
        <v>828</v>
      </c>
      <c r="EI5" s="1855" t="s">
        <v>787</v>
      </c>
      <c r="EJ5" s="1855" t="s">
        <v>788</v>
      </c>
      <c r="EK5" s="1879" t="s">
        <v>876</v>
      </c>
      <c r="EL5" s="1870" t="s">
        <v>894</v>
      </c>
      <c r="EM5" s="1871"/>
      <c r="EN5" s="1872"/>
      <c r="EO5" s="1768" t="s">
        <v>994</v>
      </c>
      <c r="EP5" s="1768" t="s">
        <v>996</v>
      </c>
      <c r="EQ5" s="1768" t="s">
        <v>997</v>
      </c>
      <c r="ER5" s="1768" t="s">
        <v>1002</v>
      </c>
      <c r="ES5" s="1768" t="s">
        <v>1012</v>
      </c>
      <c r="ET5" s="1864" t="s">
        <v>1089</v>
      </c>
      <c r="EU5" s="1864" t="s">
        <v>1090</v>
      </c>
      <c r="EV5" s="1771" t="s">
        <v>1111</v>
      </c>
      <c r="EW5" s="1855" t="s">
        <v>1114</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993</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895</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1091</v>
      </c>
      <c r="EU8" s="1519" t="s">
        <v>1092</v>
      </c>
      <c r="EV8" s="1519" t="s">
        <v>1100</v>
      </c>
      <c r="EW8" s="532" t="s">
        <v>1113</v>
      </c>
      <c r="EX8" s="532" t="s">
        <v>1145</v>
      </c>
      <c r="EY8" s="532" t="s">
        <v>1158</v>
      </c>
    </row>
    <row r="9" spans="1:155" s="788" customFormat="1" ht="14.25" customHeight="1">
      <c r="A9" s="823" t="s">
        <v>72</v>
      </c>
      <c r="B9" s="770" t="s">
        <v>515</v>
      </c>
      <c r="C9" s="771" t="s">
        <v>8</v>
      </c>
      <c r="D9" s="772" t="s">
        <v>25</v>
      </c>
      <c r="E9" s="770" t="s">
        <v>26</v>
      </c>
      <c r="F9" s="770">
        <v>32</v>
      </c>
      <c r="G9" s="773"/>
      <c r="H9" s="824" t="s">
        <v>316</v>
      </c>
      <c r="I9" s="825" t="s">
        <v>1149</v>
      </c>
      <c r="J9" s="775" t="s">
        <v>1151</v>
      </c>
      <c r="K9" s="775" t="s">
        <v>1153</v>
      </c>
      <c r="L9" s="775" t="s">
        <v>1155</v>
      </c>
      <c r="M9" s="775" t="s">
        <v>1157</v>
      </c>
      <c r="N9" s="775" t="s">
        <v>1161</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1167</v>
      </c>
      <c r="AT9" s="832"/>
      <c r="AU9" s="831" t="s">
        <v>1077</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1174</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1134</v>
      </c>
      <c r="CR9" s="836" t="s">
        <v>641</v>
      </c>
      <c r="CS9" s="530"/>
      <c r="CT9" s="530"/>
      <c r="CU9" s="530"/>
      <c r="CV9" s="530" t="s">
        <v>663</v>
      </c>
      <c r="CW9" s="530" t="s">
        <v>528</v>
      </c>
      <c r="CX9" s="530" t="s">
        <v>450</v>
      </c>
      <c r="CY9" s="530" t="s">
        <v>572</v>
      </c>
      <c r="CZ9" s="530" t="s">
        <v>573</v>
      </c>
      <c r="DA9" s="530" t="s">
        <v>574</v>
      </c>
      <c r="DB9" s="831" t="s">
        <v>1168</v>
      </c>
      <c r="DC9" s="831" t="s">
        <v>1169</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1170</v>
      </c>
      <c r="EP9" s="1318" t="s">
        <v>1140</v>
      </c>
      <c r="EQ9" s="1318" t="s">
        <v>1141</v>
      </c>
      <c r="ER9" s="1337">
        <v>1200</v>
      </c>
      <c r="ES9" s="1331"/>
      <c r="ET9" s="1520"/>
      <c r="EU9" s="1520"/>
      <c r="EV9" s="530" t="s">
        <v>1103</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1105</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1074</v>
      </c>
      <c r="J11" s="350" t="s">
        <v>1071</v>
      </c>
      <c r="K11" s="350" t="s">
        <v>1127</v>
      </c>
      <c r="L11" s="350" t="s">
        <v>1080</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1072</v>
      </c>
      <c r="AT11" s="778"/>
      <c r="AU11" s="777" t="s">
        <v>1078</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1176</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1137</v>
      </c>
      <c r="CR11" s="530" t="s">
        <v>1136</v>
      </c>
      <c r="CS11" s="790"/>
      <c r="CT11" s="530"/>
      <c r="CU11" s="530"/>
      <c r="CV11" s="530" t="s">
        <v>663</v>
      </c>
      <c r="CW11" s="530" t="s">
        <v>435</v>
      </c>
      <c r="CX11" s="530" t="s">
        <v>450</v>
      </c>
      <c r="CY11" s="530" t="s">
        <v>572</v>
      </c>
      <c r="CZ11" s="530" t="s">
        <v>573</v>
      </c>
      <c r="DA11" s="530" t="s">
        <v>574</v>
      </c>
      <c r="DB11" s="363" t="s">
        <v>1162</v>
      </c>
      <c r="DC11" s="363" t="s">
        <v>1163</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1171</v>
      </c>
      <c r="EP11" s="1364" t="s">
        <v>1138</v>
      </c>
      <c r="EQ11" s="1364" t="s">
        <v>1139</v>
      </c>
      <c r="ER11" s="1339">
        <v>1323</v>
      </c>
      <c r="ES11" s="1332"/>
      <c r="ET11" s="1520"/>
      <c r="EU11" s="1520"/>
      <c r="EV11" s="530" t="s">
        <v>1102</v>
      </c>
      <c r="EW11" s="836"/>
      <c r="EX11" s="836"/>
      <c r="EY11" s="836"/>
    </row>
    <row r="12" spans="1:155" s="788" customFormat="1" ht="14.25" customHeight="1">
      <c r="A12" s="823" t="s">
        <v>517</v>
      </c>
      <c r="B12" s="770" t="s">
        <v>515</v>
      </c>
      <c r="C12" s="771" t="s">
        <v>8</v>
      </c>
      <c r="D12" s="772" t="s">
        <v>25</v>
      </c>
      <c r="E12" s="770" t="s">
        <v>25</v>
      </c>
      <c r="F12" s="770">
        <v>31</v>
      </c>
      <c r="G12" s="773"/>
      <c r="H12" s="839"/>
      <c r="I12" s="351" t="s">
        <v>1150</v>
      </c>
      <c r="J12" s="350" t="s">
        <v>1152</v>
      </c>
      <c r="K12" s="350" t="s">
        <v>1154</v>
      </c>
      <c r="L12" s="350" t="s">
        <v>1156</v>
      </c>
      <c r="M12" s="350" t="s">
        <v>1148</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1164</v>
      </c>
      <c r="AT12" s="778"/>
      <c r="AU12" s="777" t="s">
        <v>1075</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1175</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1135</v>
      </c>
      <c r="CR12" s="836"/>
      <c r="CS12" s="790"/>
      <c r="CT12" s="530"/>
      <c r="CU12" s="530"/>
      <c r="CV12" s="530" t="s">
        <v>663</v>
      </c>
      <c r="CW12" s="530" t="s">
        <v>435</v>
      </c>
      <c r="CX12" s="530" t="s">
        <v>450</v>
      </c>
      <c r="CY12" s="530" t="s">
        <v>572</v>
      </c>
      <c r="CZ12" s="530" t="s">
        <v>573</v>
      </c>
      <c r="DA12" s="530" t="s">
        <v>574</v>
      </c>
      <c r="DB12" s="831" t="s">
        <v>1165</v>
      </c>
      <c r="DC12" s="831" t="s">
        <v>1166</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1173</v>
      </c>
      <c r="EP12" s="1318" t="s">
        <v>1142</v>
      </c>
      <c r="EQ12" s="1318" t="s">
        <v>1143</v>
      </c>
      <c r="ER12" s="1337">
        <v>680</v>
      </c>
      <c r="ES12" s="1333"/>
      <c r="ET12" s="1520"/>
      <c r="EU12" s="1520"/>
      <c r="EV12" s="530" t="s">
        <v>1102</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1119</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1120</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1073</v>
      </c>
      <c r="EP16" s="1317" t="s">
        <v>1076</v>
      </c>
      <c r="EQ16" s="1317" t="s">
        <v>1083</v>
      </c>
      <c r="ER16" s="1341" t="s">
        <v>1034</v>
      </c>
      <c r="ES16" s="1332"/>
      <c r="ET16" s="1520"/>
      <c r="EU16" s="1520"/>
      <c r="EV16" s="530" t="s">
        <v>1101</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1101</v>
      </c>
      <c r="EW17" s="168"/>
      <c r="EX17" s="168"/>
      <c r="EY17" s="168"/>
    </row>
    <row r="18" spans="1:155" ht="14.25" customHeight="1">
      <c r="A18" s="7" t="s">
        <v>184</v>
      </c>
      <c r="B18" s="21" t="s">
        <v>515</v>
      </c>
      <c r="C18" s="22" t="s">
        <v>8</v>
      </c>
      <c r="D18" s="23" t="s">
        <v>114</v>
      </c>
      <c r="E18" s="21" t="s">
        <v>114</v>
      </c>
      <c r="F18" s="21" t="s">
        <v>179</v>
      </c>
      <c r="G18" s="6"/>
      <c r="H18" s="24"/>
      <c r="I18" s="25" t="s">
        <v>185</v>
      </c>
      <c r="J18" s="26" t="s">
        <v>1095</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1104</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1084</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1106</v>
      </c>
      <c r="EW19" s="168"/>
      <c r="EX19" s="168"/>
      <c r="EY19" s="168" t="s">
        <v>1160</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1144</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1108</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1115</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1131</v>
      </c>
      <c r="Q28" s="26" t="s">
        <v>1132</v>
      </c>
      <c r="R28" s="26" t="s">
        <v>1133</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1126</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1110</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CBXvx0t2KeoAk2UMLcN5Rt1ddWKQvxv6APGDG5mbBs1LNsnEsTiv7px+bg+1jEGE0oKnehQVwtAeGkJZiWGYg==" saltValue="nw1Z+4roeIi4t7YI8m1h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BADAJOZ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4 al 4</v>
      </c>
      <c r="D5" s="1882" t="s">
        <v>487</v>
      </c>
      <c r="E5" s="1882" t="s">
        <v>752</v>
      </c>
      <c r="F5" s="1893" t="s">
        <v>523</v>
      </c>
      <c r="G5" s="1882" t="s">
        <v>173</v>
      </c>
      <c r="H5" s="1882" t="s">
        <v>785</v>
      </c>
      <c r="I5" s="1882" t="s">
        <v>753</v>
      </c>
      <c r="J5" s="1882" t="s">
        <v>870</v>
      </c>
      <c r="K5" s="1882" t="s">
        <v>871</v>
      </c>
      <c r="L5" s="1882" t="s">
        <v>754</v>
      </c>
      <c r="M5" s="1882" t="s">
        <v>709</v>
      </c>
      <c r="N5" s="1882" t="s">
        <v>872</v>
      </c>
      <c r="O5" s="1885" t="s">
        <v>783</v>
      </c>
      <c r="P5" s="1882" t="s">
        <v>892</v>
      </c>
      <c r="Q5" s="1882" t="s">
        <v>886</v>
      </c>
      <c r="R5" s="1882" t="s">
        <v>225</v>
      </c>
      <c r="S5" s="1888" t="s">
        <v>882</v>
      </c>
      <c r="T5" s="1888" t="s">
        <v>885</v>
      </c>
      <c r="U5" s="1882" t="s">
        <v>786</v>
      </c>
      <c r="V5" s="1888" t="s">
        <v>755</v>
      </c>
      <c r="W5" s="1882" t="s">
        <v>1038</v>
      </c>
      <c r="X5" s="1882" t="s">
        <v>1039</v>
      </c>
      <c r="Y5" s="1902" t="s">
        <v>873</v>
      </c>
      <c r="Z5" s="1899" t="s">
        <v>811</v>
      </c>
      <c r="AA5" s="1917" t="s">
        <v>756</v>
      </c>
      <c r="AB5" s="1899" t="s">
        <v>757</v>
      </c>
      <c r="AC5" s="1899" t="s">
        <v>758</v>
      </c>
      <c r="AD5" s="1920" t="s">
        <v>874</v>
      </c>
      <c r="AE5" s="1920" t="s">
        <v>1066</v>
      </c>
      <c r="AF5" s="1882" t="s">
        <v>887</v>
      </c>
      <c r="AG5" s="1882" t="s">
        <v>710</v>
      </c>
      <c r="AH5" s="1882" t="s">
        <v>875</v>
      </c>
      <c r="AI5" s="1882" t="s">
        <v>236</v>
      </c>
      <c r="AJ5" s="1882" t="s">
        <v>942</v>
      </c>
      <c r="AK5" s="1882" t="s">
        <v>711</v>
      </c>
      <c r="AL5" s="1882" t="s">
        <v>712</v>
      </c>
      <c r="AM5" s="1882" t="s">
        <v>893</v>
      </c>
      <c r="AN5" s="1882" t="s">
        <v>713</v>
      </c>
      <c r="AO5" s="1882" t="s">
        <v>714</v>
      </c>
      <c r="AP5" s="1882" t="s">
        <v>715</v>
      </c>
      <c r="AQ5" s="1882" t="s">
        <v>716</v>
      </c>
      <c r="AR5" s="1882" t="s">
        <v>876</v>
      </c>
      <c r="AS5" s="1882" t="s">
        <v>239</v>
      </c>
      <c r="AT5" s="1905" t="s">
        <v>237</v>
      </c>
      <c r="AU5" s="1882" t="s">
        <v>888</v>
      </c>
      <c r="AV5" s="1908" t="s">
        <v>889</v>
      </c>
      <c r="AW5" s="1911" t="s">
        <v>718</v>
      </c>
      <c r="AX5" s="1882" t="s">
        <v>719</v>
      </c>
      <c r="AY5" s="1882" t="s">
        <v>809</v>
      </c>
      <c r="AZ5" s="1914" t="s">
        <v>810</v>
      </c>
      <c r="BA5" s="1882" t="s">
        <v>760</v>
      </c>
      <c r="BB5" s="1908" t="s">
        <v>761</v>
      </c>
      <c r="BC5" s="1911" t="s">
        <v>240</v>
      </c>
      <c r="BD5" s="1882" t="s">
        <v>762</v>
      </c>
      <c r="BE5" s="1882" t="s">
        <v>318</v>
      </c>
      <c r="BF5" s="1882" t="s">
        <v>319</v>
      </c>
      <c r="BG5" s="1882" t="s">
        <v>320</v>
      </c>
      <c r="BH5" s="1882" t="s">
        <v>763</v>
      </c>
      <c r="BI5" s="1882" t="s">
        <v>321</v>
      </c>
      <c r="BJ5" s="1882" t="s">
        <v>764</v>
      </c>
      <c r="BK5" s="1882" t="s">
        <v>779</v>
      </c>
      <c r="BL5" s="1882" t="s">
        <v>765</v>
      </c>
      <c r="BM5" s="1882" t="s">
        <v>766</v>
      </c>
      <c r="BN5" s="1882" t="s">
        <v>794</v>
      </c>
      <c r="BO5" s="1882" t="s">
        <v>787</v>
      </c>
      <c r="BP5" s="1882" t="s">
        <v>1112</v>
      </c>
      <c r="BQ5" s="1882" t="s">
        <v>1116</v>
      </c>
      <c r="BR5" s="1882" t="s">
        <v>1118</v>
      </c>
      <c r="BS5" s="1882" t="s">
        <v>788</v>
      </c>
      <c r="BT5" s="1882" t="s">
        <v>767</v>
      </c>
      <c r="BU5" s="1882" t="s">
        <v>717</v>
      </c>
      <c r="BV5" s="1896" t="s">
        <v>1040</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317</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155</v>
      </c>
      <c r="O9" s="549"/>
      <c r="P9" s="549"/>
      <c r="Q9" s="547">
        <f>IF(ISNUMBER(Datos!P9),Datos!P9,0)</f>
        <v>641</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404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124</v>
      </c>
      <c r="AI9" s="549" t="str">
        <f>IF(ISNUMBER(Datos!CD9),Datos!CD9,"-")</f>
        <v>-</v>
      </c>
      <c r="AJ9" s="549" t="str">
        <f>IF(ISNUMBER(Datos!EN9),Datos!EN9," - ")</f>
        <v xml:space="preserve"> - </v>
      </c>
      <c r="AK9" s="549"/>
      <c r="AL9" s="550"/>
      <c r="AM9" s="766">
        <f>IF(ISNUMBER(Datos!R9),Datos!R9," - ")</f>
        <v>7612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493</v>
      </c>
      <c r="BD9" s="693">
        <f>IF(ISNUMBER(Datos!N9),Datos!N9," - ")</f>
        <v>1067</v>
      </c>
      <c r="BE9" s="693" t="str">
        <f>IF(ISNUMBER(Datos!BW9),Datos!BW9," - ")</f>
        <v xml:space="preserve"> - </v>
      </c>
      <c r="BF9" s="762" t="str">
        <f>IF(ISNUMBER(Datos!BX9),Datos!BX9," - ")</f>
        <v xml:space="preserve"> - </v>
      </c>
      <c r="BG9" s="763">
        <f>IF(ISNUMBER(IF(J_V="SI",Datos!K9/Datos!J9,(Datos!K9+Datos!AA9)/(Datos!J9+Datos!Z9))),IF(J_V="SI",Datos!K9/Datos!J9,(Datos!K9+Datos!AA9)/(Datos!J9+Datos!Z9))," - ")</f>
        <v>0.95187376725838269</v>
      </c>
      <c r="BH9" s="764">
        <f>IF(ISNUMBER(((IF(J_V="SI",Datos!L9/Datos!K9,(Datos!L9+Datos!AB9)/(Datos!K9+Datos!AA9)))*11)/factor_trimestre),((IF(J_V="SI",Datos!L9/Datos!K9,(Datos!L9+Datos!AB9)/(Datos!K9+Datos!AA9)))*11)/factor_trimestre," - ")</f>
        <v>4.6373808537090762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3.213559322033898E-2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62</v>
      </c>
      <c r="G10" s="543">
        <f>IF(ISNUMBER(Datos!I10),Datos!I10," - ")</f>
        <v>62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31</v>
      </c>
      <c r="AC10" s="547">
        <f>IF(ISNUMBER(Datos!Q10),Datos!Q10," - ")</f>
        <v>4</v>
      </c>
      <c r="AD10" s="549"/>
      <c r="AE10" s="563"/>
      <c r="AF10" s="551">
        <f>IF(ISNUMBER(Datos!L10),Datos!L10,"-")</f>
        <v>71</v>
      </c>
      <c r="AG10" s="549"/>
      <c r="AH10" s="549"/>
      <c r="AI10" s="549"/>
      <c r="AJ10" s="549"/>
      <c r="AK10" s="549"/>
      <c r="AL10" s="550"/>
      <c r="AM10" s="766">
        <f>IF(ISNUMBER(Datos!R10),Datos!R10," - ")</f>
        <v>77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17</v>
      </c>
      <c r="BD10" s="693">
        <f>IF(ISNUMBER(Datos!N10),Datos!N10," - ")</f>
        <v>6</v>
      </c>
      <c r="BE10" s="693" t="str">
        <f>IF(ISNUMBER(Datos!BW10),Datos!BW10," - ")</f>
        <v xml:space="preserve"> - </v>
      </c>
      <c r="BF10" s="762" t="str">
        <f>IF(ISNUMBER(Datos!BX10),Datos!BX10," - ")</f>
        <v xml:space="preserve"> - </v>
      </c>
      <c r="BG10" s="763">
        <f>IF(ISNUMBER(Datos!K10/Datos!J10),Datos!K10/Datos!J10," - ")</f>
        <v>0.77500000000000002</v>
      </c>
      <c r="BH10" s="764">
        <f>IF(ISNUMBER(((Datos!L10/Datos!K10)*11)/factor_trimestre),((Datos!L10/Datos!K10)*11)/factor_trimestre," - ")</f>
        <v>6.8709677419354849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23</v>
      </c>
      <c r="O11" s="549"/>
      <c r="P11" s="549"/>
      <c r="Q11" s="547">
        <f>IF(ISNUMBER(Datos!P11),Datos!P11,0)</f>
        <v>54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27</v>
      </c>
      <c r="AD11" s="549"/>
      <c r="AE11" s="563"/>
      <c r="AF11" s="551" t="str">
        <f>IF(ISNUMBER(IF(J_V="SI",Datos!L11,Datos!L11+Datos!AB11)-IF(Monitorios="SI",Datos!CD11,0)),
                          IF(J_V="SI",Datos!L11,Datos!L11+Datos!AB11)-IF(Monitorios="SI",Datos!CD11,0),
                          " - ")</f>
        <v xml:space="preserve"> - </v>
      </c>
      <c r="AG11" s="549"/>
      <c r="AH11" s="549">
        <f>IF(ISNUMBER(Datos!AB11),Datos!AB11,"-")</f>
        <v>27</v>
      </c>
      <c r="AI11" s="549"/>
      <c r="AJ11" s="549"/>
      <c r="AK11" s="549"/>
      <c r="AL11" s="550"/>
      <c r="AM11" s="766">
        <f>IF(ISNUMBER(Datos!R11),Datos!R11," - ")</f>
        <v>389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141</v>
      </c>
      <c r="BD11" s="693">
        <f>IF(ISNUMBER(Datos!N11),Datos!N11," - ")</f>
        <v>128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1.0572289156626506</v>
      </c>
      <c r="BH11" s="764">
        <f>IF(ISNUMBER(((IF(J_V="SI",Datos!L11/Datos!K11,(Datos!L11+Datos!AB11)/(Datos!K11+Datos!AA11)))*11)/factor_trimestre),((IF(J_V="SI",Datos!L11/Datos!K11,(Datos!L11+Datos!AB11)/(Datos!K11+Datos!AA11)))*11)/factor_trimestre," - ")</f>
        <v>4.683760683760684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7.4585635359116026E-2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9.433962264150943E-3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62</v>
      </c>
      <c r="G14" s="1197">
        <f t="shared" si="1"/>
        <v>62</v>
      </c>
      <c r="H14" s="1198">
        <f t="shared" si="1"/>
        <v>0</v>
      </c>
      <c r="I14" s="1197">
        <f t="shared" si="1"/>
        <v>0</v>
      </c>
      <c r="J14" s="1164">
        <f t="shared" si="1"/>
        <v>0</v>
      </c>
      <c r="K14" s="1164">
        <f t="shared" si="1"/>
        <v>0</v>
      </c>
      <c r="L14" s="1198">
        <f t="shared" si="1"/>
        <v>0</v>
      </c>
      <c r="M14" s="1198">
        <f t="shared" si="1"/>
        <v>0</v>
      </c>
      <c r="N14" s="1198">
        <f t="shared" si="1"/>
        <v>178</v>
      </c>
      <c r="O14" s="1199">
        <f t="shared" si="1"/>
        <v>0</v>
      </c>
      <c r="P14" s="1199">
        <f t="shared" si="1"/>
        <v>0</v>
      </c>
      <c r="Q14" s="1198">
        <f t="shared" si="1"/>
        <v>707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31</v>
      </c>
      <c r="AC14" s="1198">
        <f t="shared" si="2"/>
        <v>435</v>
      </c>
      <c r="AD14" s="1198">
        <f t="shared" si="2"/>
        <v>0</v>
      </c>
      <c r="AE14" s="1198">
        <f t="shared" si="2"/>
        <v>0</v>
      </c>
      <c r="AF14" s="1198">
        <f t="shared" si="2"/>
        <v>71</v>
      </c>
      <c r="AG14" s="1198">
        <f t="shared" si="2"/>
        <v>0</v>
      </c>
      <c r="AH14" s="1198">
        <f t="shared" si="2"/>
        <v>151</v>
      </c>
      <c r="AI14" s="1198">
        <f t="shared" si="2"/>
        <v>0</v>
      </c>
      <c r="AJ14" s="1198">
        <f t="shared" si="2"/>
        <v>0</v>
      </c>
      <c r="AK14" s="1198">
        <f t="shared" si="2"/>
        <v>0</v>
      </c>
      <c r="AL14" s="1198">
        <f t="shared" si="2"/>
        <v>0</v>
      </c>
      <c r="AM14" s="1198">
        <f t="shared" si="2"/>
        <v>8185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651</v>
      </c>
      <c r="BD14" s="1198">
        <f t="shared" si="2"/>
        <v>1201</v>
      </c>
      <c r="BE14" s="1198">
        <f t="shared" si="2"/>
        <v>0</v>
      </c>
      <c r="BF14" s="1198">
        <f t="shared" si="2"/>
        <v>0</v>
      </c>
      <c r="BG14" s="1198">
        <f>IF(ISNUMBER(Datos!K14/Datos!J14),Datos!K14/Datos!J14," - ")</f>
        <v>0.95602784902894833</v>
      </c>
      <c r="BH14" s="1202">
        <f>IF(ISNUMBER(((Datos!L14/Datos!K14)*11)/factor_trimestre),((Datos!L14/Datos!K14)*11)/factor_trimestre," - ")</f>
        <v>4.8351858949789195</v>
      </c>
      <c r="BI14" s="1198">
        <f>IF(ISNUMBER('Resol  Asuntos'!D14/NºAsuntos!G14),'Resol  Asuntos'!D14/NºAsuntos!G14," - ")</f>
        <v>0.2329159212880143</v>
      </c>
      <c r="BJ14" s="1198" t="str">
        <f>IF(ISNUMBER(Datos!CI14/Datos!CJ14),Datos!CI14/Datos!CJ14," - ")</f>
        <v xml:space="preserve"> - </v>
      </c>
      <c r="BK14" s="1198">
        <f>SUBTOTAL(9,BK8:BK13)</f>
        <v>0</v>
      </c>
      <c r="BL14" s="1198">
        <f>IF(ISNUMBER((I14-AB14+L14)/(F14)),(I14-AB14+L14)/(F14)," - ")</f>
        <v>-0.5</v>
      </c>
      <c r="BM14" s="1203">
        <f>SUBTOTAL(9,BM9:BM13)</f>
        <v>0.21615519084360596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1385</v>
      </c>
      <c r="G16" s="743">
        <f>IF(ISNUMBER(IF(D_I="SI",Datos!I16,Datos!I16+Datos!AC16)),IF(D_I="SI",Datos!I16,Datos!I16+Datos!AC16)," - ")</f>
        <v>1357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3101</v>
      </c>
      <c r="AC16" s="240">
        <f>IF(ISNUMBER(Datos!Q16),Datos!Q16," - ")</f>
        <v>130</v>
      </c>
      <c r="AD16" s="374"/>
      <c r="AE16" s="562"/>
      <c r="AF16" s="741">
        <f>IF(ISNUMBER(IF(D_I="SI",Datos!L16,Datos!L16+Datos!AF16)),IF(D_I="SI",Datos!L16,Datos!L16+Datos!AF16)," - ")</f>
        <v>1254</v>
      </c>
      <c r="AG16" s="374"/>
      <c r="AH16" s="374"/>
      <c r="AI16" s="374"/>
      <c r="AJ16" s="549"/>
      <c r="AK16" s="374"/>
      <c r="AL16" s="545"/>
      <c r="AM16" s="375">
        <f>IF(ISNUMBER(Datos!R16),Datos!R16," - ")</f>
        <v>174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381</v>
      </c>
      <c r="BD16" s="243">
        <f>IF(ISNUMBER(Datos!N16),Datos!N16," - ")</f>
        <v>1975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1.0441077441077442</v>
      </c>
      <c r="BH16" s="764">
        <f>IF(ISNUMBER(((IF(D_I="SI",Datos!L16/Datos!K16,(Datos!L16+Datos!AF16)/(Datos!K16+Datos!AE16)))*11)/factor_trimestre),((IF(D_I="SI",Datos!L16/Datos!K16,(Datos!L16+Datos!AF16)/(Datos!K16+Datos!AE16)))*11)/factor_trimestre," - ")</f>
        <v>1.2131570461141568</v>
      </c>
      <c r="BI16" s="266">
        <f>IF(ISNUMBER('Resol  Asuntos'!D16/NºAsuntos!G16),'Resol  Asuntos'!D16/NºAsuntos!G16," - ")</f>
        <v>0.12286359238955176</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42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219</v>
      </c>
      <c r="AC18" s="547">
        <f>IF(ISNUMBER(Datos!Q18),Datos!Q18," - ")</f>
        <v>5</v>
      </c>
      <c r="AD18" s="549"/>
      <c r="AE18" s="562"/>
      <c r="AF18" s="551">
        <f>IF(ISNUMBER(Datos!L18),Datos!L18,"-")</f>
        <v>39</v>
      </c>
      <c r="AG18" s="549"/>
      <c r="AH18" s="549"/>
      <c r="AI18" s="549"/>
      <c r="AJ18" s="549"/>
      <c r="AK18" s="549"/>
      <c r="AL18" s="550"/>
      <c r="AM18" s="766">
        <f>IF(ISNUMBER(Datos!R18),Datos!R18," - ")</f>
        <v>17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44</v>
      </c>
      <c r="BD18" s="693">
        <f>IF(ISNUMBER(Datos!N18),Datos!N18," - ")</f>
        <v>144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1.0138888888888888</v>
      </c>
      <c r="BH18" s="764">
        <f>IF(ISNUMBER(((IF(D_I="SI",Datos!L18/Datos!K18,(Datos!L18+Datos!AF18)/(Datos!K18+Datos!AE18)))*11)/factor_trimestre),((IF(D_I="SI",Datos!L18/Datos!K18,(Datos!L18+Datos!AF18)/(Datos!K18+Datos!AE18)))*11)/factor_trimestre," - ")</f>
        <v>0.53424657534246578</v>
      </c>
      <c r="BI18" s="763">
        <f>IF(ISNUMBER('Resol  Asuntos'!D18/NºAsuntos!G18),'Resol  Asuntos'!D18/NºAsuntos!G18," - ")</f>
        <v>0.20091324200913241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1385</v>
      </c>
      <c r="G23" s="1197">
        <f>SUBTOTAL(9,G16:G22)</f>
        <v>1399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3320</v>
      </c>
      <c r="AC23" s="1198">
        <f t="shared" si="5"/>
        <v>135</v>
      </c>
      <c r="AD23" s="1198">
        <f t="shared" si="5"/>
        <v>0</v>
      </c>
      <c r="AE23" s="1198">
        <f t="shared" si="5"/>
        <v>0</v>
      </c>
      <c r="AF23" s="1198">
        <f t="shared" si="5"/>
        <v>1293</v>
      </c>
      <c r="AG23" s="1198">
        <f t="shared" si="5"/>
        <v>0</v>
      </c>
      <c r="AH23" s="1198">
        <f t="shared" si="5"/>
        <v>0</v>
      </c>
      <c r="AI23" s="1198">
        <f t="shared" si="5"/>
        <v>0</v>
      </c>
      <c r="AJ23" s="1198">
        <f t="shared" si="5"/>
        <v>0</v>
      </c>
      <c r="AK23" s="1198">
        <f t="shared" si="5"/>
        <v>0</v>
      </c>
      <c r="AL23" s="1198">
        <f t="shared" si="5"/>
        <v>0</v>
      </c>
      <c r="AM23" s="1198">
        <f t="shared" si="5"/>
        <v>191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425</v>
      </c>
      <c r="BD23" s="1198">
        <f t="shared" si="5"/>
        <v>2119</v>
      </c>
      <c r="BE23" s="1198">
        <f t="shared" si="5"/>
        <v>0</v>
      </c>
      <c r="BF23" s="1198">
        <f t="shared" si="5"/>
        <v>0</v>
      </c>
      <c r="BG23" s="1198">
        <f>IF(ISNUMBER(Datos!K23/Datos!J23),Datos!K23/Datos!J23," - ")</f>
        <v>1.0420590081607031</v>
      </c>
      <c r="BH23" s="1202">
        <f>IF(ISNUMBER(((Datos!L23/Datos!K23)*11)/factor_trimestre),((Datos!L23/Datos!K23)*11)/factor_trimestre," - ")</f>
        <v>1.1683734939759036</v>
      </c>
      <c r="BI23" s="1198">
        <f>SUBTOTAL(9,BI16:BI22)</f>
        <v>0.32377683439868415</v>
      </c>
      <c r="BJ23" s="1198">
        <f>SUBTOTAL(9,BJ16:BJ22)</f>
        <v>0</v>
      </c>
      <c r="BK23" s="1198">
        <f>SUBTOTAL(9,BK16:BK22)</f>
        <v>0</v>
      </c>
      <c r="BL23" s="1198">
        <f>IF(ISNUMBER((I23-AB23+L23)/(F23)),(I23-AB23+L23)/(F23)," - ")</f>
        <v>-2.3971119133574006</v>
      </c>
      <c r="BM23" s="1205">
        <f>IF(ISNUMBER((Datos!P23-Datos!Q23)/(Datos!R23-Datos!P23+Datos!Q23)),(Datos!P23-Datos!Q23)/(Datos!R23-Datos!P23+Datos!Q23)," - ")</f>
        <v>-3.0456852791878174E-2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1447</v>
      </c>
      <c r="G31" s="1117">
        <f t="shared" si="18"/>
        <v>1461</v>
      </c>
      <c r="H31" s="1119">
        <f t="shared" si="18"/>
        <v>0</v>
      </c>
      <c r="I31" s="1117">
        <f t="shared" si="18"/>
        <v>0</v>
      </c>
      <c r="J31" s="1119">
        <f t="shared" si="18"/>
        <v>0</v>
      </c>
      <c r="K31" s="1119">
        <f t="shared" si="18"/>
        <v>0</v>
      </c>
      <c r="L31" s="1180">
        <f t="shared" si="18"/>
        <v>0</v>
      </c>
      <c r="M31" s="1180">
        <f t="shared" si="18"/>
        <v>0</v>
      </c>
      <c r="N31" s="1180">
        <f t="shared" si="18"/>
        <v>178</v>
      </c>
      <c r="O31" s="1180">
        <f t="shared" si="18"/>
        <v>0</v>
      </c>
      <c r="P31" s="1180">
        <f t="shared" si="18"/>
        <v>0</v>
      </c>
      <c r="Q31" s="1119">
        <f t="shared" si="18"/>
        <v>836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3351</v>
      </c>
      <c r="AC31" s="1118">
        <f t="shared" si="19"/>
        <v>570</v>
      </c>
      <c r="AD31" s="1118">
        <f t="shared" si="19"/>
        <v>0</v>
      </c>
      <c r="AE31" s="1118">
        <f t="shared" si="19"/>
        <v>0</v>
      </c>
      <c r="AF31" s="1125">
        <f t="shared" si="19"/>
        <v>1364</v>
      </c>
      <c r="AG31" s="1125">
        <f t="shared" si="19"/>
        <v>0</v>
      </c>
      <c r="AH31" s="1125">
        <f t="shared" si="19"/>
        <v>151</v>
      </c>
      <c r="AI31" s="1125">
        <f t="shared" si="19"/>
        <v>0</v>
      </c>
      <c r="AJ31" s="1118">
        <f t="shared" si="19"/>
        <v>0</v>
      </c>
      <c r="AK31" s="1125">
        <f t="shared" si="19"/>
        <v>0</v>
      </c>
      <c r="AL31" s="1125">
        <f t="shared" si="19"/>
        <v>0</v>
      </c>
      <c r="AM31" s="1125">
        <f t="shared" si="19"/>
        <v>8376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1076</v>
      </c>
      <c r="BD31" s="1117">
        <f t="shared" si="19"/>
        <v>3320</v>
      </c>
      <c r="BE31" s="1117">
        <f t="shared" si="19"/>
        <v>0</v>
      </c>
      <c r="BF31" s="1127">
        <f t="shared" si="19"/>
        <v>0</v>
      </c>
      <c r="BG31" s="1223">
        <f>IF(ISNUMBER(Datos!K31/Datos!J31),Datos!K31/Datos!J31," - ")</f>
        <v>1.0023668639053254</v>
      </c>
      <c r="BH31" s="1223">
        <f>IF(ISNUMBER(((Datos!L31/Datos!K31)*11)/factor_trimestre),((Datos!L31/Datos!K31)*11)/factor_trimestre," - ")</f>
        <v>2.7819193793219772</v>
      </c>
      <c r="BI31" s="1103">
        <f>IF(ISNUMBER(Datos!J31/Datos!I31),Datos!J31/Datos!I31," - ")</f>
        <v>1.0411899313501145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-2.3158258465791293</v>
      </c>
      <c r="BM31" s="1188">
        <f>IF(ISNUMBER((Datos!P31-Datos!Q31+R31)/(Datos!R31-Datos!P31+Datos!Q31-R31)),(Datos!P31-Datos!Q31+R31)/(Datos!R31-Datos!P31+Datos!Q31-R31)," - ")</f>
        <v>3.2799013563501851E-2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417.42857142857144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2.4542599318054101</v>
      </c>
      <c r="F33" s="673">
        <f>IF(ISNUMBER(STDEV(F8:F30)),STDEV(F8:F30),"-")</f>
        <v>699.75214659668359</v>
      </c>
      <c r="G33" s="674">
        <f>IF(ISNUMBER(STDEV(G8:G30)),STDEV(G8:G30),"-")</f>
        <v>656.80739367104604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1542.2817357347367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247.57301953161212</v>
      </c>
      <c r="BD33" s="673"/>
      <c r="BE33" s="673">
        <f>IF(ISNUMBER(STDEV(BE8:BE30)),STDEV(BE8:BE30),"-")</f>
        <v>0</v>
      </c>
      <c r="BF33" s="678">
        <f>IF(ISNUMBER(STDEV(BF8:BF30)),STDEV(BF8:BF30),"-")</f>
        <v>0</v>
      </c>
      <c r="BG33" s="1052">
        <f>IF(ISNUMBER(STDEV(BG8:BG30)),STDEV(BG8:BG30),"-")</f>
        <v>9.8664879416078821E-2</v>
      </c>
      <c r="BH33" s="1058">
        <f>IF(ISNUMBER(STDEV(BH8:BH30)),STDEV(BH8:BH30),"-")</f>
        <v>2.4241351003078857</v>
      </c>
      <c r="BI33" s="273">
        <f>IF(ISNUMBER(STDEV(BI8:BI30)),STDEV(BI8:BI30),"-")</f>
        <v>8.3138806153490646E-2</v>
      </c>
      <c r="BJ33" s="244" t="str">
        <f>IF(ISNUMBER(BL33/BM33),BL33/BM33," - ")</f>
        <v xml:space="preserve"> - </v>
      </c>
      <c r="BK33" s="709"/>
      <c r="BL33" s="681">
        <f>IF(ISNUMBER(STDEV(BL8:BL30)),STDEV(BL8:BL30),"-")</f>
        <v>1.3414606986048039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Q7/n5PrhDtzQA+L8M29vL1b6f9h3a0r4JP/aWMJ7j2vRxDGjBNE/tMcNkUSUnGXU01Enfm38GcpLA2pwlmqJA==" saltValue="bwnQPYROWj1LRlsffHgZ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BADAJOZ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4 al 4</v>
      </c>
      <c r="D5" s="1925" t="s">
        <v>487</v>
      </c>
      <c r="E5" s="1882" t="s">
        <v>752</v>
      </c>
      <c r="F5" s="1893" t="s">
        <v>523</v>
      </c>
      <c r="G5" s="1882" t="s">
        <v>173</v>
      </c>
      <c r="H5" s="1882" t="s">
        <v>785</v>
      </c>
      <c r="I5" s="1882" t="s">
        <v>753</v>
      </c>
      <c r="J5" s="1882" t="s">
        <v>890</v>
      </c>
      <c r="K5" s="1882" t="s">
        <v>754</v>
      </c>
      <c r="L5" s="1882" t="s">
        <v>783</v>
      </c>
      <c r="M5" s="1882" t="s">
        <v>892</v>
      </c>
      <c r="N5" s="1882" t="s">
        <v>780</v>
      </c>
      <c r="O5" s="1882" t="s">
        <v>814</v>
      </c>
      <c r="P5" s="1888" t="s">
        <v>882</v>
      </c>
      <c r="Q5" s="1888" t="s">
        <v>885</v>
      </c>
      <c r="R5" s="1882" t="s">
        <v>789</v>
      </c>
      <c r="S5" s="1882" t="s">
        <v>755</v>
      </c>
      <c r="T5" s="1882" t="s">
        <v>1038</v>
      </c>
      <c r="U5" s="1882" t="s">
        <v>1039</v>
      </c>
      <c r="V5" s="1902" t="s">
        <v>873</v>
      </c>
      <c r="W5" s="1899" t="s">
        <v>769</v>
      </c>
      <c r="X5" s="1917" t="s">
        <v>770</v>
      </c>
      <c r="Y5" s="1920" t="s">
        <v>790</v>
      </c>
      <c r="Z5" s="1920" t="s">
        <v>815</v>
      </c>
      <c r="AA5" s="1882" t="s">
        <v>759</v>
      </c>
      <c r="AB5" s="1882" t="s">
        <v>771</v>
      </c>
      <c r="AC5" s="1882" t="s">
        <v>772</v>
      </c>
      <c r="AD5" s="1882" t="s">
        <v>712</v>
      </c>
      <c r="AE5" s="1882" t="s">
        <v>893</v>
      </c>
      <c r="AF5" s="1882" t="s">
        <v>239</v>
      </c>
      <c r="AG5" s="1882" t="s">
        <v>773</v>
      </c>
      <c r="AH5" s="1882" t="s">
        <v>760</v>
      </c>
      <c r="AI5" s="1882" t="s">
        <v>761</v>
      </c>
      <c r="AJ5" s="1882" t="s">
        <v>774</v>
      </c>
      <c r="AK5" s="1882" t="s">
        <v>775</v>
      </c>
      <c r="AL5" s="1882" t="s">
        <v>776</v>
      </c>
      <c r="AM5" s="1914" t="s">
        <v>777</v>
      </c>
      <c r="AN5" s="1882" t="s">
        <v>320</v>
      </c>
      <c r="AO5" s="1882" t="s">
        <v>763</v>
      </c>
      <c r="AP5" s="1882" t="s">
        <v>764</v>
      </c>
      <c r="AQ5" s="1882" t="s">
        <v>791</v>
      </c>
      <c r="AR5" s="1882" t="s">
        <v>792</v>
      </c>
      <c r="AS5" s="1882" t="s">
        <v>794</v>
      </c>
      <c r="AT5" s="1882" t="s">
        <v>787</v>
      </c>
      <c r="AU5" s="1882" t="s">
        <v>1112</v>
      </c>
      <c r="AV5" s="1882" t="s">
        <v>432</v>
      </c>
      <c r="AW5" s="1882" t="s">
        <v>778</v>
      </c>
      <c r="AX5" s="1882" t="s">
        <v>717</v>
      </c>
      <c r="BU5" s="1882" t="s">
        <v>1040</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641</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404</v>
      </c>
      <c r="AA9" s="551" t="str">
        <f>IF(ISNUMBER(IF(J_V="SI",Datos!L9,Datos!L9+Datos!AB9)-IF(Monitorios="SI",Datos!CD9,0)),
                          IF(J_V="SI",Datos!L9,Datos!L9+Datos!AB9)-IF(Monitorios="SI",Datos!CD9,0),
                          " - ")</f>
        <v xml:space="preserve"> - </v>
      </c>
      <c r="AB9" s="549"/>
      <c r="AC9" s="549"/>
      <c r="AD9" s="563"/>
      <c r="AE9" s="563">
        <f>IF(ISNUMBER(Datos!R9),Datos!R9," - ")</f>
        <v>7612</v>
      </c>
      <c r="AF9" s="693" t="str">
        <f>IF(ISNUMBER(Datos!BV9),Datos!BV9," - ")</f>
        <v xml:space="preserve"> - </v>
      </c>
      <c r="AG9" s="552" t="str">
        <f>IF(ISNUMBER(Datos!DV9),Datos!DV9," - ")</f>
        <v xml:space="preserve"> - </v>
      </c>
      <c r="AH9" s="553"/>
      <c r="AI9" s="554"/>
      <c r="AJ9" s="552">
        <f>IF(ISNUMBER(Datos!M9),Datos!M9," - ")</f>
        <v>493</v>
      </c>
      <c r="AK9" s="693">
        <f>IF(ISNUMBER(Datos!N9),Datos!N9," - ")</f>
        <v>1067</v>
      </c>
      <c r="AL9" s="693" t="str">
        <f>IF(ISNUMBER(Datos!BW9),Datos!BW9," - ")</f>
        <v xml:space="preserve"> - </v>
      </c>
      <c r="AM9" s="762" t="str">
        <f>IF(ISNUMBER(Datos!BX9),Datos!BX9," - ")</f>
        <v xml:space="preserve"> - </v>
      </c>
      <c r="AN9" s="763"/>
      <c r="AO9" s="764">
        <f>IF(ISNUMBER(((NºAsuntos!I9/NºAsuntos!G9)*11)/factor_trimestre),((NºAsuntos!I9/NºAsuntos!G9)*11)/factor_trimestre," - ")</f>
        <v>4.6373808537090762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3.213559322033898E-2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62</v>
      </c>
      <c r="G10" s="552">
        <f>IF(ISNUMBER(Datos!I10),Datos!I10," - ")</f>
        <v>62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31</v>
      </c>
      <c r="Z10" s="805">
        <f>IF(ISNUMBER(Datos!Q10),Datos!Q10," - ")</f>
        <v>4</v>
      </c>
      <c r="AA10" s="551">
        <f>IF(ISNUMBER(Datos!L10),Datos!L10,"-")</f>
        <v>71</v>
      </c>
      <c r="AB10" s="549"/>
      <c r="AC10" s="549"/>
      <c r="AD10" s="563"/>
      <c r="AE10" s="563">
        <f>IF(ISNUMBER(Datos!R10),Datos!R10," - ")</f>
        <v>77</v>
      </c>
      <c r="AF10" s="693" t="str">
        <f>IF(ISNUMBER(Datos!BV10),Datos!BV10," - ")</f>
        <v xml:space="preserve"> - </v>
      </c>
      <c r="AG10" s="552" t="str">
        <f>IF(ISNUMBER(Datos!DV10),Datos!DV10," - ")</f>
        <v xml:space="preserve"> - </v>
      </c>
      <c r="AH10" s="553"/>
      <c r="AI10" s="554"/>
      <c r="AJ10" s="552">
        <f>IF(ISNUMBER(Datos!M10),Datos!M10," - ")</f>
        <v>17</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6.8709677419354849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27</v>
      </c>
      <c r="AA11" s="551" t="str">
        <f>IF(ISNUMBER(IF(J_V="SI",Datos!L11,Datos!L11+Datos!AB11)-IF(Monitorios="SI",Datos!CD11,0)),
                          IF(J_V="SI",Datos!L11,Datos!L11+Datos!AB11)-IF(Monitorios="SI",Datos!CD11,0),
                          " - ")</f>
        <v xml:space="preserve"> - </v>
      </c>
      <c r="AB11" s="549"/>
      <c r="AC11" s="549"/>
      <c r="AD11" s="563"/>
      <c r="AE11" s="563">
        <f>IF(ISNUMBER(Datos!R11),Datos!R11," - ")</f>
        <v>389</v>
      </c>
      <c r="AF11" s="693" t="str">
        <f>IF(ISNUMBER(Datos!BV11),Datos!BV11," - ")</f>
        <v xml:space="preserve"> - </v>
      </c>
      <c r="AG11" s="552" t="str">
        <f>IF(ISNUMBER(Datos!DV11),Datos!DV11," - ")</f>
        <v xml:space="preserve"> - </v>
      </c>
      <c r="AH11" s="553"/>
      <c r="AI11" s="554"/>
      <c r="AJ11" s="552">
        <f>IF(ISNUMBER(Datos!M11),Datos!M11," - ")</f>
        <v>141</v>
      </c>
      <c r="AK11" s="693">
        <f>IF(ISNUMBER(Datos!N11),Datos!N11," - ")</f>
        <v>128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4.683760683760684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7.4585635359116026E-2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107</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9.433962264150943E-3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62</v>
      </c>
      <c r="G14" s="1197">
        <f>SUBTOTAL(9,G8:G13)</f>
        <v>62</v>
      </c>
      <c r="H14" s="1211"/>
      <c r="I14" s="1197">
        <f t="shared" ref="I14:N14" si="1">SUBTOTAL(9,I8:I13)</f>
        <v>0</v>
      </c>
      <c r="J14" s="1164">
        <f t="shared" si="1"/>
        <v>0</v>
      </c>
      <c r="K14" s="1211">
        <f t="shared" si="1"/>
        <v>0</v>
      </c>
      <c r="L14" s="1211">
        <f t="shared" si="1"/>
        <v>0</v>
      </c>
      <c r="M14" s="1211">
        <f t="shared" si="1"/>
        <v>0</v>
      </c>
      <c r="N14" s="1211">
        <f t="shared" si="1"/>
        <v>707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31</v>
      </c>
      <c r="Z14" s="1210">
        <f t="shared" si="3"/>
        <v>435</v>
      </c>
      <c r="AA14" s="1199">
        <f t="shared" si="3"/>
        <v>71</v>
      </c>
      <c r="AB14" s="1199">
        <f t="shared" si="3"/>
        <v>0</v>
      </c>
      <c r="AC14" s="1199">
        <f t="shared" si="3"/>
        <v>0</v>
      </c>
      <c r="AD14" s="1199">
        <f t="shared" si="3"/>
        <v>0</v>
      </c>
      <c r="AE14" s="1199">
        <f t="shared" si="3"/>
        <v>8185</v>
      </c>
      <c r="AF14" s="1211">
        <f t="shared" si="3"/>
        <v>0</v>
      </c>
      <c r="AG14" s="1211">
        <f t="shared" si="3"/>
        <v>0</v>
      </c>
      <c r="AH14" s="1211">
        <f t="shared" si="3"/>
        <v>0</v>
      </c>
      <c r="AI14" s="1211">
        <f t="shared" si="3"/>
        <v>0</v>
      </c>
      <c r="AJ14" s="1211">
        <f t="shared" si="3"/>
        <v>651</v>
      </c>
      <c r="AK14" s="1211">
        <f t="shared" si="3"/>
        <v>1201</v>
      </c>
      <c r="AL14" s="1211">
        <f t="shared" si="3"/>
        <v>0</v>
      </c>
      <c r="AM14" s="1211">
        <f t="shared" si="3"/>
        <v>0</v>
      </c>
      <c r="AN14" s="1211">
        <f t="shared" si="3"/>
        <v>0</v>
      </c>
      <c r="AO14" s="1203">
        <f>IF(ISNUMBER(((NºAsuntos!I14/NºAsuntos!G14)*11)/factor_trimestre),((NºAsuntos!I14/NºAsuntos!G14)*11)/factor_trimestre," - ")</f>
        <v>4.6754919499105547</v>
      </c>
      <c r="AP14" s="1213" t="str">
        <f>IF(ISNUMBER(Datos!CI14/Datos!CJ14),Datos!CI14/Datos!CJ14," - ")</f>
        <v xml:space="preserve"> - </v>
      </c>
      <c r="AQ14" s="1236">
        <f t="shared" ref="AQ14:AV14" si="4">SUBTOTAL(9,AQ9:AQ13)</f>
        <v>0</v>
      </c>
      <c r="AR14" s="1236">
        <f t="shared" si="4"/>
        <v>0.21615519084360596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1385</v>
      </c>
      <c r="G16" s="552">
        <f>IF(ISNUMBER(IF(D_I="SI",Datos!I16,Datos!I16+Datos!AC16)),IF(D_I="SI",Datos!I16,Datos!I16+Datos!AC16)," - ")</f>
        <v>1357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3101</v>
      </c>
      <c r="Z16" s="805">
        <f>IF(ISNUMBER(Datos!Q16),Datos!Q16," - ")</f>
        <v>130</v>
      </c>
      <c r="AA16" s="551">
        <f>IF(ISNUMBER(IF(D_I="SI",Datos!L16,Datos!L16+Datos!AF16)),IF(D_I="SI",Datos!L16,Datos!L16+Datos!AF16)," - ")</f>
        <v>1254</v>
      </c>
      <c r="AB16" s="549"/>
      <c r="AC16" s="549"/>
      <c r="AD16" s="563"/>
      <c r="AE16" s="563">
        <f>IF(ISNUMBER(Datos!R16),Datos!R16," - ")</f>
        <v>174</v>
      </c>
      <c r="AF16" s="693" t="str">
        <f>IF(ISNUMBER(Datos!BV16),Datos!BV16," - ")</f>
        <v xml:space="preserve"> - </v>
      </c>
      <c r="AG16" s="552"/>
      <c r="AH16" s="553"/>
      <c r="AI16" s="554"/>
      <c r="AJ16" s="552">
        <f>IF(ISNUMBER(Datos!M16),Datos!M16," - ")</f>
        <v>381</v>
      </c>
      <c r="AK16" s="693">
        <f>IF(ISNUMBER(Datos!N16),Datos!N16," - ")</f>
        <v>1975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1.2131570461141568</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42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219</v>
      </c>
      <c r="Z18" s="805">
        <f>IF(ISNUMBER(Datos!Q18),Datos!Q18," - ")</f>
        <v>5</v>
      </c>
      <c r="AA18" s="551">
        <f>IF(ISNUMBER(Datos!L18),Datos!L18,"-")</f>
        <v>39</v>
      </c>
      <c r="AB18" s="549"/>
      <c r="AC18" s="549"/>
      <c r="AD18" s="563"/>
      <c r="AE18" s="563">
        <f>IF(ISNUMBER(Datos!R18),Datos!R18," - ")</f>
        <v>17</v>
      </c>
      <c r="AF18" s="693" t="str">
        <f>IF(ISNUMBER(Datos!BV18),Datos!BV18," - ")</f>
        <v xml:space="preserve"> - </v>
      </c>
      <c r="AG18" s="552" t="str">
        <f>IF(ISNUMBER(Datos!DV18),Datos!DV18," - ")</f>
        <v xml:space="preserve"> - </v>
      </c>
      <c r="AH18" s="553"/>
      <c r="AI18" s="554"/>
      <c r="AJ18" s="552">
        <f>IF(ISNUMBER(Datos!M18),Datos!M18," - ")</f>
        <v>44</v>
      </c>
      <c r="AK18" s="693">
        <f>IF(ISNUMBER(Datos!N18),Datos!N18," - ")</f>
        <v>144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0.53424657534246578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1385</v>
      </c>
      <c r="G23" s="1197">
        <f>SUBTOTAL(9,G16:G22)</f>
        <v>1399</v>
      </c>
      <c r="H23" s="1240">
        <f>SUBTOTAL(9,H16:H22)</f>
        <v>0</v>
      </c>
      <c r="I23" s="1217">
        <f>SUBTOTAL(9,I16:I22)</f>
        <v>0</v>
      </c>
      <c r="J23" s="1164">
        <f>SUBTOTAL(9,J15:J22)</f>
        <v>0</v>
      </c>
      <c r="K23" s="1240">
        <f t="shared" ref="K23:S23" si="5">SUBTOTAL(9,K16:K22)</f>
        <v>0</v>
      </c>
      <c r="L23" s="1240">
        <f t="shared" si="5"/>
        <v>0</v>
      </c>
      <c r="M23" s="1240">
        <f t="shared" si="5"/>
        <v>0</v>
      </c>
      <c r="N23" s="1240">
        <f t="shared" si="5"/>
        <v>129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3320</v>
      </c>
      <c r="Z23" s="1240">
        <f t="shared" si="6"/>
        <v>135</v>
      </c>
      <c r="AA23" s="1240">
        <f t="shared" si="6"/>
        <v>1293</v>
      </c>
      <c r="AB23" s="1240">
        <f t="shared" si="6"/>
        <v>0</v>
      </c>
      <c r="AC23" s="1240">
        <f t="shared" si="6"/>
        <v>0</v>
      </c>
      <c r="AD23" s="1240">
        <f t="shared" si="6"/>
        <v>0</v>
      </c>
      <c r="AE23" s="1240">
        <f t="shared" si="6"/>
        <v>191</v>
      </c>
      <c r="AF23" s="1240">
        <f t="shared" si="6"/>
        <v>0</v>
      </c>
      <c r="AG23" s="1240">
        <f t="shared" si="6"/>
        <v>0</v>
      </c>
      <c r="AH23" s="1240">
        <f t="shared" si="6"/>
        <v>0</v>
      </c>
      <c r="AI23" s="1240">
        <f t="shared" si="6"/>
        <v>0</v>
      </c>
      <c r="AJ23" s="1240">
        <f t="shared" si="6"/>
        <v>425</v>
      </c>
      <c r="AK23" s="1240">
        <f t="shared" si="6"/>
        <v>2119</v>
      </c>
      <c r="AL23" s="1240">
        <f t="shared" si="6"/>
        <v>0</v>
      </c>
      <c r="AM23" s="1240">
        <f t="shared" si="6"/>
        <v>0</v>
      </c>
      <c r="AN23" s="1240">
        <f t="shared" si="6"/>
        <v>0</v>
      </c>
      <c r="AO23" s="1242">
        <f>IF(ISNUMBER(((NºAsuntos!I23/NºAsuntos!G23)*11)/factor_trimestre),((NºAsuntos!I23/NºAsuntos!G23)*11)/factor_trimestre," - ")</f>
        <v>1.1683734939759036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1447</v>
      </c>
      <c r="G31" s="1117">
        <f t="shared" si="12"/>
        <v>1461</v>
      </c>
      <c r="H31" s="1118">
        <f t="shared" si="12"/>
        <v>0</v>
      </c>
      <c r="I31" s="1117">
        <f t="shared" si="12"/>
        <v>0</v>
      </c>
      <c r="J31" s="1119">
        <f t="shared" si="12"/>
        <v>0</v>
      </c>
      <c r="K31" s="1117">
        <f t="shared" si="12"/>
        <v>0</v>
      </c>
      <c r="L31" s="1120">
        <f t="shared" si="12"/>
        <v>0</v>
      </c>
      <c r="M31" s="1117">
        <f t="shared" si="12"/>
        <v>0</v>
      </c>
      <c r="N31" s="1118">
        <f t="shared" si="12"/>
        <v>836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3351</v>
      </c>
      <c r="Z31" s="1124">
        <f t="shared" si="13"/>
        <v>570</v>
      </c>
      <c r="AA31" s="1125">
        <f t="shared" si="13"/>
        <v>1364</v>
      </c>
      <c r="AB31" s="1125">
        <f t="shared" si="13"/>
        <v>0</v>
      </c>
      <c r="AC31" s="1125">
        <f t="shared" si="13"/>
        <v>0</v>
      </c>
      <c r="AD31" s="1126">
        <f t="shared" si="13"/>
        <v>0</v>
      </c>
      <c r="AE31" s="1126">
        <f t="shared" si="13"/>
        <v>8376</v>
      </c>
      <c r="AF31" s="1127">
        <f t="shared" si="13"/>
        <v>0</v>
      </c>
      <c r="AG31" s="1128">
        <f t="shared" si="13"/>
        <v>0</v>
      </c>
      <c r="AH31" s="1129">
        <f t="shared" si="13"/>
        <v>0</v>
      </c>
      <c r="AI31" s="1127">
        <f t="shared" si="13"/>
        <v>0</v>
      </c>
      <c r="AJ31" s="1117">
        <f t="shared" si="13"/>
        <v>1076</v>
      </c>
      <c r="AK31" s="1117">
        <f t="shared" si="13"/>
        <v>3320</v>
      </c>
      <c r="AL31" s="1117">
        <f t="shared" si="13"/>
        <v>0</v>
      </c>
      <c r="AM31" s="1130">
        <f t="shared" si="13"/>
        <v>0</v>
      </c>
      <c r="AN31" s="1120">
        <f>IF(ISNUMBER(Datos!K31/Datos!J31),Datos!K31/Datos!J31," - ")</f>
        <v>1.0023668639053254</v>
      </c>
      <c r="AO31" s="1120">
        <f>IF(ISNUMBER(FIND("06",Criterios!A8,1)),(IF(ISNUMBER(((Datos!R31/Datos!Q31)*11)/factor_trimestre),((Datos!R31/Datos!Q31)*11)/factor_trimestre," - ")),(IF(ISNUMBER(((Datos!L31/Datos!K31)*11)/factor_trimestre),((Datos!L31/Datos!K31)*11)/factor_trimestre," - ")))</f>
        <v>2.7819193793219772</v>
      </c>
      <c r="AP31" s="1131" t="str">
        <f>IF(ISNUMBER(Datos!CI31/Datos!CJ31),Datos!CI31/Datos!CJ31," - ")</f>
        <v xml:space="preserve"> - </v>
      </c>
      <c r="AQ31" s="1131">
        <f>IF(OR(ISNUMBER(FIND("01",Criterios!A8,1)),ISNUMBER(FIND("02",Criterios!A8,1)),ISNUMBER(FIND("03",Criterios!A8,1)),ISNUMBER(FIND("04",Criterios!A8,1))),(J31-Y31+K31)/(F31-K31),(I31-Y31+K31)/(F31-K31))</f>
        <v>-2.3158258465791293</v>
      </c>
      <c r="AR31" s="1131">
        <f>IF(ISNUMBER((Datos!P31-Datos!Q31+O31)/(Datos!R31-Datos!P31+Datos!Q31-O31)),(Datos!P31-Datos!Q31+O31)/(Datos!R31-Datos!P31+Datos!Q31-O31)," - ")</f>
        <v>3.2799013563501851E-2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417.42857142857144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699.75214659668359</v>
      </c>
      <c r="G33" s="674">
        <f>IF(ISNUMBER(STDEV(G8:G30)),STDEV(G8:G30),"-")</f>
        <v>656.80739367104604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247.57301953161212</v>
      </c>
      <c r="AK33" s="276"/>
      <c r="AL33" s="276">
        <f>IF(ISNUMBER(STDEV(AL8:AL30)),STDEV(AL8:AL30),"-")</f>
        <v>0</v>
      </c>
      <c r="AM33" s="278">
        <f>IF(ISNUMBER(STDEV(AM8:AM30)),STDEV(AM8:AM30),"-")</f>
        <v>0</v>
      </c>
      <c r="AN33" s="660">
        <f>IF(ISNUMBER(STDEV(AN8:AN30)),STDEV(AN8:AN30),"-")</f>
        <v>0</v>
      </c>
      <c r="AO33" s="661">
        <f>IF(ISNUMBER(STDEV(AO8:AO30)),STDEV(AO8:AO30),"-")</f>
        <v>2.4093080555744515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XI2eSP/oEuvxnJD32irKqwL4xtpHaHi8TMcYvmQkMWmVNiIaXjYv0++Ll1eSFkoYSkaarUOmMIrmGcWBavYEw==" saltValue="pTTKDdDAqncj8f3SiPyu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TsgHvlLGfQts5UKbunyls/FHkk/B/yyqw1e6edyvTnUxUcT2XbX/LESsQSpBJhDDS3HSA4vd79O4ESzXjYWuoA==" saltValue="mddbnWSxqCI8hIbfJlWI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635</v>
      </c>
      <c r="DL5" s="1756" t="s">
        <v>639</v>
      </c>
      <c r="DM5" s="1848" t="s">
        <v>709</v>
      </c>
      <c r="DN5" s="1848" t="s">
        <v>710</v>
      </c>
      <c r="DO5" s="1848" t="s">
        <v>711</v>
      </c>
      <c r="DP5" s="1848" t="s">
        <v>712</v>
      </c>
      <c r="DQ5" s="1848" t="s">
        <v>713</v>
      </c>
      <c r="DR5" s="1848" t="s">
        <v>714</v>
      </c>
      <c r="DS5" s="1848" t="s">
        <v>715</v>
      </c>
      <c r="DT5" s="1848" t="s">
        <v>716</v>
      </c>
      <c r="DU5" s="1849" t="s">
        <v>717</v>
      </c>
      <c r="DV5" s="1861" t="s">
        <v>718</v>
      </c>
      <c r="DW5" s="1858" t="s">
        <v>719</v>
      </c>
      <c r="DX5" s="1848" t="s">
        <v>720</v>
      </c>
      <c r="DY5" s="1855" t="s">
        <v>721</v>
      </c>
      <c r="DZ5" s="1858" t="s">
        <v>722</v>
      </c>
      <c r="EA5" s="1855" t="s">
        <v>723</v>
      </c>
      <c r="EB5" s="1852" t="s">
        <v>783</v>
      </c>
      <c r="EC5" s="1852" t="s">
        <v>784</v>
      </c>
      <c r="ED5" s="1852" t="s">
        <v>785</v>
      </c>
      <c r="EE5" s="1852" t="s">
        <v>825</v>
      </c>
      <c r="EF5" s="1852" t="s">
        <v>829</v>
      </c>
      <c r="EG5" s="1855" t="s">
        <v>827</v>
      </c>
      <c r="EH5" s="1855" t="s">
        <v>828</v>
      </c>
      <c r="EI5" s="1855" t="s">
        <v>787</v>
      </c>
      <c r="EJ5" s="1855" t="s">
        <v>788</v>
      </c>
      <c r="EK5" s="1867" t="s">
        <v>876</v>
      </c>
      <c r="EL5" s="1870" t="s">
        <v>894</v>
      </c>
      <c r="EM5" s="1871"/>
      <c r="EN5" s="1872"/>
      <c r="EO5" s="1768" t="s">
        <v>994</v>
      </c>
      <c r="EP5" s="1768" t="s">
        <v>996</v>
      </c>
      <c r="EQ5" s="1768" t="s">
        <v>997</v>
      </c>
      <c r="ER5" s="1768" t="s">
        <v>1010</v>
      </c>
      <c r="ES5" s="1768" t="s">
        <v>1012</v>
      </c>
      <c r="ET5" s="1864" t="s">
        <v>1089</v>
      </c>
      <c r="EU5" s="1864" t="s">
        <v>1090</v>
      </c>
      <c r="EV5" s="1765" t="s">
        <v>1111</v>
      </c>
      <c r="EW5" s="1765" t="s">
        <v>1117</v>
      </c>
      <c r="EX5" s="1762" t="s">
        <v>1146</v>
      </c>
      <c r="EY5" s="1750" t="s">
        <v>1159</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993</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895</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1091</v>
      </c>
      <c r="EU8" s="1519" t="s">
        <v>1092</v>
      </c>
      <c r="EV8" s="165" t="s">
        <v>1100</v>
      </c>
      <c r="EW8" s="165">
        <v>153</v>
      </c>
      <c r="EX8" s="532" t="s">
        <v>1145</v>
      </c>
      <c r="EY8" s="532" t="s">
        <v>1158</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p63BVlJstZmBufYbLKKcX0wmjxp6RHJhYkhma6l41yqY4fJ0Fa7H5a7r+WfctxrxZYzDa/2Wr24F1rh2+zsdw==" saltValue="eWZZ6wUN0stmhaSbjyHB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BADAJOZ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4 al 4</v>
      </c>
      <c r="D5" s="1882" t="s">
        <v>487</v>
      </c>
      <c r="E5" s="1882" t="s">
        <v>752</v>
      </c>
      <c r="F5" s="1893" t="s">
        <v>523</v>
      </c>
      <c r="G5" s="1882" t="s">
        <v>173</v>
      </c>
      <c r="H5" s="1882" t="s">
        <v>785</v>
      </c>
      <c r="I5" s="1882" t="s">
        <v>753</v>
      </c>
      <c r="J5" s="1882" t="s">
        <v>870</v>
      </c>
      <c r="K5" s="1882" t="s">
        <v>754</v>
      </c>
      <c r="L5" s="1882" t="s">
        <v>709</v>
      </c>
      <c r="M5" s="1885" t="s">
        <v>783</v>
      </c>
      <c r="N5" s="1882" t="s">
        <v>927</v>
      </c>
      <c r="O5" s="1882" t="s">
        <v>886</v>
      </c>
      <c r="P5" s="1882" t="s">
        <v>225</v>
      </c>
      <c r="Q5" s="1888" t="s">
        <v>882</v>
      </c>
      <c r="R5" s="1888" t="s">
        <v>928</v>
      </c>
      <c r="S5" s="1882" t="s">
        <v>786</v>
      </c>
      <c r="T5" s="1888" t="s">
        <v>755</v>
      </c>
      <c r="U5" s="1888" t="s">
        <v>1038</v>
      </c>
      <c r="V5" s="1888" t="s">
        <v>1039</v>
      </c>
      <c r="W5" s="1899" t="s">
        <v>811</v>
      </c>
      <c r="X5" s="1917" t="s">
        <v>756</v>
      </c>
      <c r="Y5" s="1899" t="s">
        <v>757</v>
      </c>
      <c r="Z5" s="1899" t="s">
        <v>758</v>
      </c>
      <c r="AA5" s="1882" t="s">
        <v>887</v>
      </c>
      <c r="AB5" s="1882" t="s">
        <v>893</v>
      </c>
      <c r="AC5" s="1882" t="s">
        <v>239</v>
      </c>
      <c r="AD5" s="1905" t="s">
        <v>237</v>
      </c>
      <c r="AE5" s="1882" t="s">
        <v>888</v>
      </c>
      <c r="AF5" s="1908" t="s">
        <v>889</v>
      </c>
      <c r="AG5" s="1911" t="s">
        <v>718</v>
      </c>
      <c r="AH5" s="1882" t="s">
        <v>719</v>
      </c>
      <c r="AI5" s="1882" t="s">
        <v>809</v>
      </c>
      <c r="AJ5" s="1914" t="s">
        <v>810</v>
      </c>
      <c r="AK5" s="1911" t="s">
        <v>240</v>
      </c>
      <c r="AL5" s="1882" t="s">
        <v>762</v>
      </c>
      <c r="AM5" s="1882" t="s">
        <v>318</v>
      </c>
      <c r="AN5" s="1882" t="s">
        <v>319</v>
      </c>
      <c r="AO5" s="1882" t="s">
        <v>320</v>
      </c>
      <c r="AP5" s="1882" t="s">
        <v>763</v>
      </c>
      <c r="AQ5" s="1882" t="s">
        <v>321</v>
      </c>
      <c r="AR5" s="1882" t="s">
        <v>764</v>
      </c>
      <c r="AS5" s="1882" t="s">
        <v>765</v>
      </c>
      <c r="AT5" s="1882" t="s">
        <v>766</v>
      </c>
      <c r="AU5" s="1882" t="s">
        <v>794</v>
      </c>
      <c r="AV5" s="1882" t="s">
        <v>787</v>
      </c>
      <c r="AW5" s="1882" t="s">
        <v>1112</v>
      </c>
      <c r="AX5" s="1882" t="s">
        <v>1116</v>
      </c>
      <c r="AY5" s="1882" t="s">
        <v>1118</v>
      </c>
      <c r="AZ5" s="1882" t="s">
        <v>788</v>
      </c>
      <c r="BA5" s="1882" t="s">
        <v>1159</v>
      </c>
      <c r="BB5" s="1882" t="s">
        <v>767</v>
      </c>
      <c r="BC5" s="1882" t="s">
        <v>717</v>
      </c>
      <c r="BW5" s="1882" t="s">
        <v>1040</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0.2329159212880143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0.16469642738906706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lkstULzr7rE2g7diWXr43Vu+78++Q8I2r03jGj9XQqED1MYj4fgS4g7YG2FavjJrc/VYdM+IBxqxQONdI8Bww==" saltValue="OVRMCoTxYPHS+22tQxon6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Fut30OGpkJAecS+fk+3xTQpQYs2mtZO7qyZOSgqM3Ps0P7+N0b/UWLnKp9pj8s3hGmcKcWj6DWUJfAQed4REzA==" saltValue="aqtFVSrJ2YyfbeRenVDb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BADAJOZ</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999</v>
      </c>
      <c r="L5" s="1572" t="s">
        <v>1062</v>
      </c>
      <c r="M5" s="1572" t="s">
        <v>1147</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3805</v>
      </c>
      <c r="D9" s="452">
        <f>IF(ISNUMBER(C9/Datos!BH9),C9/Datos!BH9," - ")</f>
        <v>634.16666666666663</v>
      </c>
      <c r="E9" s="451">
        <f>IF(ISNUMBER(IF(J_V="SI",Datos!J9,Datos!J9+Datos!Z9)),IF(J_V="SI",Datos!J9,Datos!J9+Datos!Z9)," - ")</f>
        <v>2535</v>
      </c>
      <c r="F9" s="452">
        <f>IF(ISNUMBER(E9/B9),E9/B9," - ")</f>
        <v>422.5</v>
      </c>
      <c r="G9" s="451">
        <f>IF(ISNUMBER(IF(J_V="SI",Datos!K9,Datos!K9+Datos!AA9)),IF(J_V="SI",Datos!K9,Datos!K9+Datos!AA9)," - ")</f>
        <v>2413</v>
      </c>
      <c r="H9" s="452">
        <f>IF(ISNUMBER(G9/B9),G9/B9," - ")</f>
        <v>402.16666666666669</v>
      </c>
      <c r="I9" s="451">
        <f>IF(ISNUMBER(IF(J_V="SI",Datos!L9,Datos!L9+Datos!AB9)),IF(J_V="SI",Datos!L9,Datos!L9+Datos!AB9)," - ")</f>
        <v>3730</v>
      </c>
      <c r="J9" s="452">
        <f>IF(ISNUMBER(I9/B9),I9/B9," - ")</f>
        <v>621.66666666666663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62</v>
      </c>
      <c r="D10" s="452">
        <f>IF(ISNUMBER(C10/Datos!BH10),C10/Datos!BH10," - ")</f>
        <v>62</v>
      </c>
      <c r="E10" s="451">
        <f>IF(ISNUMBER(Datos!J10),Datos!J10," - ")</f>
        <v>40</v>
      </c>
      <c r="F10" s="452">
        <f>IF(ISNUMBER(E10/B10),E10/B10," - ")</f>
        <v>40</v>
      </c>
      <c r="G10" s="451">
        <f>IF(ISNUMBER(Datos!K10),Datos!K10," - ")</f>
        <v>31</v>
      </c>
      <c r="H10" s="452">
        <f>IF(ISNUMBER(G10/B10),G10/B10," - ")</f>
        <v>31</v>
      </c>
      <c r="I10" s="451">
        <f>IF(ISNUMBER(Datos!L10),Datos!L10," - ")</f>
        <v>71</v>
      </c>
      <c r="J10" s="452">
        <f>IF(ISNUMBER(I10/B10),I10/B10," - ")</f>
        <v>71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567</v>
      </c>
      <c r="D11" s="452">
        <f>IF(ISNUMBER(C11/Datos!BH11),C11/Datos!BH11," - ")</f>
        <v>567</v>
      </c>
      <c r="E11" s="451">
        <f>IF(ISNUMBER(IF(J_V="SI",Datos!J11,Datos!J11+Datos!Z11)),IF(J_V="SI",Datos!J11,Datos!J11+Datos!Z11)," - ")</f>
        <v>332</v>
      </c>
      <c r="F11" s="452">
        <f>IF(ISNUMBER(E11/B11),E11/B11," - ")</f>
        <v>332</v>
      </c>
      <c r="G11" s="451">
        <f>IF(ISNUMBER(IF(J_V="SI",Datos!K11,Datos!K11+Datos!AA11)),IF(J_V="SI",Datos!K11,Datos!K11+Datos!AA11)," - ")</f>
        <v>351</v>
      </c>
      <c r="H11" s="452">
        <f>IF(ISNUMBER(G11/B11),G11/B11," - ")</f>
        <v>351</v>
      </c>
      <c r="I11" s="451">
        <f>IF(ISNUMBER(IF(J_V="SI",Datos!L11,Datos!L11+Datos!AB11)),IF(J_V="SI",Datos!L11,Datos!L11+Datos!AB11)," - ")</f>
        <v>548</v>
      </c>
      <c r="J11" s="452">
        <f>IF(ISNUMBER(I11/B11),I11/B11," - ")</f>
        <v>548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7</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7</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4441</v>
      </c>
      <c r="D14" s="1147" t="str">
        <f>IF(ISNUMBER(C14/Datos!BI14),C14/Datos!BI14," - ")</f>
        <v xml:space="preserve"> - </v>
      </c>
      <c r="E14" s="1146">
        <f>SUBTOTAL(9,E8:E13)</f>
        <v>2907</v>
      </c>
      <c r="F14" s="1147">
        <f>IF(ISNUMBER(E14/B14),E14/B14," - ")</f>
        <v>363.375</v>
      </c>
      <c r="G14" s="1146">
        <f>SUBTOTAL(9,G8:G13)</f>
        <v>2795</v>
      </c>
      <c r="H14" s="1147">
        <f>IF(ISNUMBER(G14/B14),G14/B14," - ")</f>
        <v>349.375</v>
      </c>
      <c r="I14" s="1146">
        <f>SUBTOTAL(9,I8:I13)</f>
        <v>4356</v>
      </c>
      <c r="J14" s="1147">
        <f>IF(ISNUMBER(I14/B14),I14/B14," - ")</f>
        <v>544.5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1357</v>
      </c>
      <c r="D16" s="452">
        <f>IF(ISNUMBER(C16/Datos!BH16),C16/Datos!BH16," - ")</f>
        <v>339.25</v>
      </c>
      <c r="E16" s="451">
        <f>IF(ISNUMBER(IF(D_I="SI",Datos!J16,Datos!J16+Datos!AD16)),IF(D_I="SI",Datos!J16,Datos!J16+Datos!AD16)," - ")</f>
        <v>2970</v>
      </c>
      <c r="F16" s="452">
        <f>IF(ISNUMBER(E16/B16),E16/B16," - ")</f>
        <v>742.5</v>
      </c>
      <c r="G16" s="451">
        <f>IF(ISNUMBER(IF(D_I="SI",Datos!K16,Datos!K16+Datos!AE16)),IF(D_I="SI",Datos!K16,Datos!K16+Datos!AE16)," - ")</f>
        <v>3101</v>
      </c>
      <c r="H16" s="452">
        <f>IF(ISNUMBER(G16/B16),G16/B16," - ")</f>
        <v>775.25</v>
      </c>
      <c r="I16" s="451">
        <f>IF(ISNUMBER(IF(D_I="SI",Datos!L16,Datos!L16+Datos!AF16)),IF(D_I="SI",Datos!L16,Datos!L16+Datos!AF16)," - ")</f>
        <v>1254</v>
      </c>
      <c r="J16" s="452">
        <f>IF(ISNUMBER(I16/B16),I16/B16," - ")</f>
        <v>313.5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42</v>
      </c>
      <c r="D18" s="452">
        <f>IF(ISNUMBER(C18/Datos!BH18),C18/Datos!BH18," - ")</f>
        <v>42</v>
      </c>
      <c r="E18" s="451">
        <f>IF(ISNUMBER(IF(D_I="SI",Datos!J18,Datos!J18+Datos!AD18)),IF(D_I="SI",Datos!J18,Datos!J18+Datos!AD18)," - ")</f>
        <v>216</v>
      </c>
      <c r="F18" s="452">
        <f>IF(ISNUMBER(E18/B18),E18/B18," - ")</f>
        <v>216</v>
      </c>
      <c r="G18" s="451">
        <f>IF(ISNUMBER(IF(D_I="SI",Datos!K18,Datos!K18+Datos!AE18)),IF(D_I="SI",Datos!K18,Datos!K18+Datos!AE18)," - ")</f>
        <v>219</v>
      </c>
      <c r="H18" s="452">
        <f>IF(ISNUMBER(G18/B18),G18/B18," - ")</f>
        <v>219</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1399</v>
      </c>
      <c r="D23" s="1147" t="str">
        <f>IF(ISNUMBER(C23/Datos!BI23),C23/Datos!BI23," - ")</f>
        <v xml:space="preserve"> - </v>
      </c>
      <c r="E23" s="1146">
        <f>SUBTOTAL(9,E15:E22)</f>
        <v>3186</v>
      </c>
      <c r="F23" s="1147">
        <f>IF(ISNUMBER(E23/B23),E23/B23," - ")</f>
        <v>637.20000000000005</v>
      </c>
      <c r="G23" s="1146">
        <f>SUBTOTAL(9,G15:G22)</f>
        <v>3320</v>
      </c>
      <c r="H23" s="1147">
        <f>IF(ISNUMBER(G23/B23),G23/B23," - ")</f>
        <v>664</v>
      </c>
      <c r="I23" s="1146">
        <f>SUBTOTAL(9,I15:I22)</f>
        <v>1293</v>
      </c>
      <c r="J23" s="1147">
        <f>IF(ISNUMBER(I23/B23),I23/B23," - ")</f>
        <v>258.60000000000002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5840</v>
      </c>
      <c r="D31" s="1085" t="str">
        <f>IF(ISNUMBER(C31/Datos!BI31),C31/Datos!BI31," - ")</f>
        <v xml:space="preserve"> - </v>
      </c>
      <c r="E31" s="1084">
        <f>SUBTOTAL(9,E9:E30)</f>
        <v>6093</v>
      </c>
      <c r="F31" s="1085">
        <f>IF(ISNUMBER(E31/B31),E31/B31," - ")</f>
        <v>507.75</v>
      </c>
      <c r="G31" s="1084">
        <f>SUBTOTAL(9,G9:G30)</f>
        <v>6115</v>
      </c>
      <c r="H31" s="1085">
        <f>IF(ISNUMBER(G31/B31),G31/B31," - ")</f>
        <v>509.58333333333331</v>
      </c>
      <c r="I31" s="1084">
        <f>SUBTOTAL(9,I9:I30)</f>
        <v>5649</v>
      </c>
      <c r="J31" s="1085">
        <f>IF(ISNUMBER(I31/B31),I31/B31," - ")</f>
        <v>470.75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Bd5xIpARHqEbP8r0LpKkppW5v3+HiwSTJ4f2QIP41IOroafHzNy8KqzAZJ0pvrsUHYlWJ/wO3TZVwYNZRBqw==" saltValue="MizZOEvlIr8XPn3cpm51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BADAJOZ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4 al 4</v>
      </c>
      <c r="D5" s="1882" t="s">
        <v>542</v>
      </c>
      <c r="E5" s="1882" t="s">
        <v>752</v>
      </c>
      <c r="F5" s="1893" t="s">
        <v>523</v>
      </c>
      <c r="G5" s="1882" t="s">
        <v>173</v>
      </c>
      <c r="H5" s="1882" t="s">
        <v>901</v>
      </c>
      <c r="I5" s="1882" t="s">
        <v>902</v>
      </c>
      <c r="J5" s="1882" t="s">
        <v>905</v>
      </c>
      <c r="K5" s="1882" t="s">
        <v>906</v>
      </c>
      <c r="L5" s="1882" t="s">
        <v>783</v>
      </c>
      <c r="M5" s="1882" t="s">
        <v>927</v>
      </c>
      <c r="N5" s="1882" t="s">
        <v>907</v>
      </c>
      <c r="O5" s="1882" t="s">
        <v>903</v>
      </c>
      <c r="P5" s="1882" t="s">
        <v>225</v>
      </c>
      <c r="Q5" s="1882" t="s">
        <v>882</v>
      </c>
      <c r="R5" s="1882" t="s">
        <v>928</v>
      </c>
      <c r="S5" s="1882" t="str">
        <f>"Ingreso Computable 2003" &amp; IF(OR(EXACT(LEFT(boletin,2),"04"),EXACT(LEFT(boletin,2),"14"),EXACT(LEFT(boletin,2),"17"))," (Civil + Penal)","")</f>
        <v>Ingreso Computable 2003</v>
      </c>
      <c r="T5" s="1882" t="s">
        <v>904</v>
      </c>
      <c r="U5" s="1888" t="str">
        <f>"% Ingreso Computable 2003" &amp; IF(OR(EXACT(LEFT(boletin,2),"04"),EXACT(LEFT(boletin,2),"14"),EXACT(LEFT(boletin,2),"17"))," (Civil + Penal)","")</f>
        <v>% Ingreso Computable 2003</v>
      </c>
      <c r="V5" s="1888" t="s">
        <v>908</v>
      </c>
      <c r="W5" s="1882" t="s">
        <v>1032</v>
      </c>
      <c r="X5" s="1882" t="s">
        <v>1033</v>
      </c>
      <c r="Y5" s="1902" t="s">
        <v>873</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909</v>
      </c>
      <c r="AC5" s="1939" t="s">
        <v>910</v>
      </c>
      <c r="AD5" s="1939" t="s">
        <v>911</v>
      </c>
      <c r="AE5" s="1939" t="s">
        <v>912</v>
      </c>
      <c r="AF5" s="1882" t="s">
        <v>913</v>
      </c>
      <c r="AG5" s="1882" t="s">
        <v>914</v>
      </c>
      <c r="AH5" s="1882" t="s">
        <v>915</v>
      </c>
      <c r="AI5" s="1882" t="s">
        <v>916</v>
      </c>
      <c r="AJ5" s="1882" t="s">
        <v>239</v>
      </c>
      <c r="AK5" s="1911" t="s">
        <v>718</v>
      </c>
      <c r="AL5" s="1911" t="s">
        <v>240</v>
      </c>
      <c r="AM5" s="1882" t="s">
        <v>762</v>
      </c>
      <c r="AN5" s="1882" t="s">
        <v>318</v>
      </c>
      <c r="AO5" s="1882" t="s">
        <v>319</v>
      </c>
      <c r="AP5" s="1882" t="s">
        <v>917</v>
      </c>
      <c r="AQ5" s="1882" t="s">
        <v>918</v>
      </c>
      <c r="AR5" s="1882" t="s">
        <v>919</v>
      </c>
      <c r="AS5" s="1882" t="s">
        <v>920</v>
      </c>
      <c r="AT5" s="1882" t="s">
        <v>921</v>
      </c>
      <c r="AU5" s="1882" t="s">
        <v>922</v>
      </c>
      <c r="AV5" s="1882" t="s">
        <v>923</v>
      </c>
      <c r="AW5" s="1882" t="s">
        <v>924</v>
      </c>
      <c r="AX5" s="1882" t="s">
        <v>1112</v>
      </c>
      <c r="AY5" s="1882" t="s">
        <v>1116</v>
      </c>
      <c r="AZ5" s="1882" t="s">
        <v>925</v>
      </c>
      <c r="BA5" s="1882" t="s">
        <v>926</v>
      </c>
      <c r="BB5" s="1882" t="s">
        <v>717</v>
      </c>
      <c r="BC5" s="1708" t="s">
        <v>933</v>
      </c>
      <c r="BD5" s="1708" t="s">
        <v>934</v>
      </c>
      <c r="BE5" s="1893" t="s">
        <v>935</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317</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62</v>
      </c>
      <c r="G10" s="906">
        <f>IF(ISNUMBER(Datos!I10),Datos!I10," - ")</f>
        <v>62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31</v>
      </c>
      <c r="AC10" s="905" t="str">
        <f>IF(ISNUMBER(IF(D_I="SI",DatosP!K18,DatosP!K18+DatosP!AE18)),IF(D_I="SI",DatosP!K18,DatosP!K18+DatosP!AE18)," - ")</f>
        <v xml:space="preserve"> - </v>
      </c>
      <c r="AD10" s="907"/>
      <c r="AE10" s="907"/>
      <c r="AF10" s="910">
        <f>IF(ISNUMBER(Datos!L10),Datos!L10,"-")</f>
        <v>71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17</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6.8709677419354849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9.433962264150943E-3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62</v>
      </c>
      <c r="G14" s="1256">
        <f t="shared" si="0"/>
        <v>62</v>
      </c>
      <c r="H14" s="1256">
        <f t="shared" si="0"/>
        <v>0</v>
      </c>
      <c r="I14" s="1258">
        <f t="shared" si="0"/>
        <v>0</v>
      </c>
      <c r="J14" s="1257">
        <f t="shared" si="0"/>
        <v>0</v>
      </c>
      <c r="K14" s="1257">
        <f t="shared" si="0"/>
        <v>0</v>
      </c>
      <c r="L14" s="1259">
        <f t="shared" si="0"/>
        <v>0</v>
      </c>
      <c r="M14" s="1259">
        <f t="shared" si="0"/>
        <v>0</v>
      </c>
      <c r="N14" s="1257">
        <f t="shared" si="0"/>
        <v>12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31</v>
      </c>
      <c r="AC14" s="1257">
        <f t="shared" si="1"/>
        <v>0</v>
      </c>
      <c r="AD14" s="1257">
        <f t="shared" si="1"/>
        <v>0</v>
      </c>
      <c r="AE14" s="1257">
        <f t="shared" si="1"/>
        <v>0</v>
      </c>
      <c r="AF14" s="1257">
        <f t="shared" si="1"/>
        <v>71</v>
      </c>
      <c r="AG14" s="1257">
        <f t="shared" si="1"/>
        <v>0</v>
      </c>
      <c r="AH14" s="1257">
        <f t="shared" si="1"/>
        <v>107</v>
      </c>
      <c r="AI14" s="1257">
        <f t="shared" si="1"/>
        <v>0</v>
      </c>
      <c r="AJ14" s="1257">
        <f t="shared" si="1"/>
        <v>0</v>
      </c>
      <c r="AK14" s="1257">
        <f t="shared" si="1"/>
        <v>0</v>
      </c>
      <c r="AL14" s="1257">
        <f t="shared" si="1"/>
        <v>17</v>
      </c>
      <c r="AM14" s="1257">
        <f t="shared" si="1"/>
        <v>6</v>
      </c>
      <c r="AN14" s="1257">
        <f t="shared" si="1"/>
        <v>0</v>
      </c>
      <c r="AO14" s="1257">
        <f t="shared" si="1"/>
        <v>0</v>
      </c>
      <c r="AP14" s="1262">
        <f>IF(ISNUMBER(((Datos!L14/Datos!K14)*11)/factor_trimestre),((Datos!L14/Datos!K14)*11)/factor_trimestre," - ")</f>
        <v>4.8351858949789195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9.433962264150943E-3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1.1683734939759036</v>
      </c>
      <c r="AQ23" s="1262">
        <f>IF(ISNUMBER(((Datos!M23/Datos!L23)*11)/factor_trimestre),((Datos!M23/Datos!L23)*11)/factor_trimestre," - ")</f>
        <v>0.9860788863109049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-3.0456852791878174E-2</v>
      </c>
      <c r="AW23" s="1265">
        <f>IF(ISNUMBER((Datos!Q23-Datos!R23)/(Datos!S23-Datos!Q23+Datos!R23)),(Datos!Q23-Datos!R23)/(Datos!S23-Datos!Q23+Datos!R23)," - ")</f>
        <v>-3.6939313984168866E-2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62</v>
      </c>
      <c r="G31" s="1278">
        <f t="shared" si="8"/>
        <v>62</v>
      </c>
      <c r="H31" s="1278">
        <f t="shared" si="8"/>
        <v>0</v>
      </c>
      <c r="I31" s="1279">
        <f t="shared" si="8"/>
        <v>0</v>
      </c>
      <c r="J31" s="1280">
        <f t="shared" si="8"/>
        <v>0</v>
      </c>
      <c r="K31" s="1280">
        <f t="shared" si="8"/>
        <v>0</v>
      </c>
      <c r="L31" s="1280">
        <f t="shared" si="8"/>
        <v>0</v>
      </c>
      <c r="M31" s="1280">
        <f t="shared" si="8"/>
        <v>0</v>
      </c>
      <c r="N31" s="1279">
        <f t="shared" si="8"/>
        <v>12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31</v>
      </c>
      <c r="AC31" s="1284">
        <f t="shared" si="9"/>
        <v>0</v>
      </c>
      <c r="AD31" s="1284">
        <f t="shared" si="9"/>
        <v>0</v>
      </c>
      <c r="AE31" s="1284">
        <f t="shared" si="9"/>
        <v>0</v>
      </c>
      <c r="AF31" s="1285">
        <f t="shared" si="9"/>
        <v>71</v>
      </c>
      <c r="AG31" s="1285">
        <f t="shared" si="9"/>
        <v>0</v>
      </c>
      <c r="AH31" s="1285">
        <f t="shared" si="9"/>
        <v>107</v>
      </c>
      <c r="AI31" s="1285">
        <f t="shared" si="9"/>
        <v>0</v>
      </c>
      <c r="AJ31" s="1286">
        <f t="shared" si="9"/>
        <v>0</v>
      </c>
      <c r="AK31" s="1286">
        <f t="shared" si="9"/>
        <v>0</v>
      </c>
      <c r="AL31" s="1278">
        <f t="shared" si="9"/>
        <v>17</v>
      </c>
      <c r="AM31" s="1278">
        <f t="shared" si="9"/>
        <v>6</v>
      </c>
      <c r="AN31" s="1278">
        <f t="shared" si="9"/>
        <v>0</v>
      </c>
      <c r="AO31" s="1278">
        <f t="shared" si="9"/>
        <v>0</v>
      </c>
      <c r="AP31" s="1278">
        <f>IF(ISNUMBER(((Datos!L31/Datos!K31)*11)/factor_trimestre),((Datos!L31/Datos!K31)*11)/factor_trimestre," - ")</f>
        <v>2.7819193793219772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3.2799013563501851E-2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3.0322342331100418</v>
      </c>
      <c r="F33" s="1006">
        <f>IF(ISNUMBER(STDEV(F8:F30)),STDEV(F8:F30),"-")</f>
        <v>33.958798565320301</v>
      </c>
      <c r="G33" s="1007">
        <f>IF(ISNUMBER(STDEV(G8:G30)),STDEV(G8:G30),"-")</f>
        <v>33.958798565320301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16.97939928266015</v>
      </c>
      <c r="AC33" s="1008">
        <f>IF(ISNUMBER(STDEV(AC8:AC30)),STDEV(AC8:AC30),"-")</f>
        <v>0</v>
      </c>
      <c r="AD33" s="1011"/>
      <c r="AE33" s="1011"/>
      <c r="AF33" s="1011"/>
      <c r="AG33" s="1011"/>
      <c r="AH33" s="1011"/>
      <c r="AI33" s="1011"/>
      <c r="AJ33" s="1012">
        <f>IF(ISNUMBER(STDEV(AJ8:AJ30)),STDEV(AJ8:AJ30),"-")</f>
        <v>0</v>
      </c>
      <c r="AK33" s="1014"/>
      <c r="AL33" s="1006">
        <f>IF(ISNUMBER(STDEV(AL8:AL30)),STDEV(AL8:AL30),"-")</f>
        <v>8.778762251403478</v>
      </c>
      <c r="AM33" s="1006"/>
      <c r="AN33" s="1006">
        <f>IF(ISNUMBER(STDEV(AN8:AN30)),STDEV(AN8:AN30),"-")</f>
        <v>0</v>
      </c>
      <c r="AO33" s="1012">
        <f>IF(ISNUMBER(STDEV(AO8:AO30)),STDEV(AO8:AO30),"-")</f>
        <v>0</v>
      </c>
      <c r="AP33" s="1065">
        <f>IF(ISNUMBER(STDEV(AP8:AP30)),STDEV(AP8:AP30),"-")</f>
        <v>2.8899106695942782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qYtemlNiu/DMx/T5muUhbW/8Y0lC7Xzc7rTpdU7nQX1UKamjMTKBTKrPapfIae1D5AXDr6SKU1J0LJHdyXQ1Cg==" saltValue="DlQyuI44o7gVXlyapa4I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276</v>
      </c>
      <c r="B3" s="439" t="str">
        <f>Criterios!A10 &amp;"  "&amp;Criterios!B10</f>
        <v>Provincias  BADAJOZ</v>
      </c>
      <c r="C3" s="463"/>
      <c r="F3" s="436"/>
      <c r="G3" s="436"/>
      <c r="H3" s="436"/>
    </row>
    <row r="4" spans="1:15" ht="13.5" thickBot="1">
      <c r="A4" s="436"/>
      <c r="B4" s="439" t="str">
        <f>Criterios!A11 &amp;"  "&amp;Criterios!B11</f>
        <v>Resumenes por Partidos Judiciales  BADAJOZ</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P6KI1aHUuXlTlkktTZs70md2dgY1hsfnIEneffLUO1WSZtjJKWx1YB3XNiBQvF++Q2iRqwe3SSoZ7bSO+pDJg==" saltValue="0Sh6tLCWfXZ3FzeOoq6z4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BADAJOZ</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493</v>
      </c>
      <c r="E9" s="452">
        <f t="shared" ref="E9:E14" si="0">IF(ISNUMBER(D9/B9),D9/B9," - ")</f>
        <v>82.166666666666671</v>
      </c>
      <c r="F9" s="451">
        <f>IF(ISNUMBER(Datos!N9),Datos!N9," - ")</f>
        <v>1067</v>
      </c>
      <c r="G9" s="452">
        <f t="shared" ref="G9:G14" si="1">IF(ISNUMBER(F9/B9),F9/B9," - ")</f>
        <v>177.83333333333334</v>
      </c>
      <c r="H9" s="451">
        <f>IF(ISNUMBER(Datos!O9),Datos!O9," - ")</f>
        <v>1122</v>
      </c>
      <c r="I9" s="452">
        <f>IF(ISNUMBER(H9/B9),H9/B9," - ")</f>
        <v>187</v>
      </c>
    </row>
    <row r="10" spans="1:9">
      <c r="A10" s="450" t="str">
        <f>Datos!A10</f>
        <v>Jdos. Violencia contra la mujer</v>
      </c>
      <c r="B10" s="480">
        <f>Datos!AO10</f>
        <v>1</v>
      </c>
      <c r="C10" s="458">
        <f>Datos!AQ10</f>
        <v>1</v>
      </c>
      <c r="D10" s="451">
        <f>IF(ISNUMBER(Datos!M10),Datos!M10," - ")</f>
        <v>17</v>
      </c>
      <c r="E10" s="452">
        <f>IF(ISNUMBER(D10/B10),D10/B10," - ")</f>
        <v>17</v>
      </c>
      <c r="F10" s="451">
        <f>IF(ISNUMBER(Datos!N10),Datos!N10," - ")</f>
        <v>6</v>
      </c>
      <c r="G10" s="452">
        <f>IF(ISNUMBER(F10/B10),F10/B10," - ")</f>
        <v>6</v>
      </c>
      <c r="H10" s="451">
        <f>IF(ISNUMBER(Datos!O10),Datos!O10," - ")</f>
        <v>6</v>
      </c>
      <c r="I10" s="452">
        <f t="shared" ref="I10:I13" si="2">IF(ISNUMBER(H10/B10),H10/B10," - ")</f>
        <v>6</v>
      </c>
    </row>
    <row r="11" spans="1:9">
      <c r="A11" s="450" t="str">
        <f>Datos!A11</f>
        <v xml:space="preserve">Jdos. Familia                                   </v>
      </c>
      <c r="B11" s="480">
        <f>Datos!AO11</f>
        <v>1</v>
      </c>
      <c r="C11" s="458">
        <f>Datos!AQ11</f>
        <v>1</v>
      </c>
      <c r="D11" s="451">
        <f>IF(ISNUMBER(Datos!M11),Datos!M11," - ")</f>
        <v>141</v>
      </c>
      <c r="E11" s="452">
        <f t="shared" si="0"/>
        <v>141</v>
      </c>
      <c r="F11" s="451">
        <f>IF(ISNUMBER(Datos!N11),Datos!N11," - ")</f>
        <v>128</v>
      </c>
      <c r="G11" s="452">
        <f t="shared" si="1"/>
        <v>128</v>
      </c>
      <c r="H11" s="451">
        <f>IF(ISNUMBER(Datos!O11),Datos!O11," - ")</f>
        <v>63</v>
      </c>
      <c r="I11" s="452">
        <f t="shared" si="2"/>
        <v>63</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651</v>
      </c>
      <c r="E14" s="1147">
        <f t="shared" si="0"/>
        <v>81.375</v>
      </c>
      <c r="F14" s="1146">
        <f>SUBTOTAL(9,F9:F13)</f>
        <v>1201</v>
      </c>
      <c r="G14" s="1147">
        <f t="shared" si="1"/>
        <v>150.125</v>
      </c>
      <c r="H14" s="1146">
        <f>SUBTOTAL(9,H9:H13)</f>
        <v>1191</v>
      </c>
      <c r="I14" s="1147">
        <f>IF(ISNUMBER(H14/B14),H14/B14," - ")</f>
        <v>148.875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381</v>
      </c>
      <c r="E16" s="452">
        <f t="shared" ref="E16:E23" si="3">IF(ISNUMBER(D16/B16),D16/B16," - ")</f>
        <v>95.25</v>
      </c>
      <c r="F16" s="451">
        <f>IF(ISNUMBER(Datos!N16),Datos!N16," - ")</f>
        <v>1975</v>
      </c>
      <c r="G16" s="452">
        <f t="shared" ref="G16:G23" si="4">IF(ISNUMBER(F16/B16),F16/B16," - ")</f>
        <v>493.75</v>
      </c>
      <c r="H16" s="451">
        <f>IF(ISNUMBER(Datos!O16),Datos!O16," - ")</f>
        <v>24</v>
      </c>
      <c r="I16" s="452">
        <f t="shared" ref="I16:I22" si="5">IF(ISNUMBER(H16/B16),H16/B16," - ")</f>
        <v>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44</v>
      </c>
      <c r="E18" s="452">
        <f>IF(ISNUMBER(D18/B18),D18/B18," - ")</f>
        <v>44</v>
      </c>
      <c r="F18" s="451">
        <f>IF(ISNUMBER(Datos!N18),Datos!N18," - ")</f>
        <v>144</v>
      </c>
      <c r="G18" s="452">
        <f>IF(ISNUMBER(F18/B18),F18/B18," - ")</f>
        <v>144</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425</v>
      </c>
      <c r="E23" s="1147">
        <f t="shared" si="3"/>
        <v>85</v>
      </c>
      <c r="F23" s="1146">
        <f>SUBTOTAL(9,F16:F22)</f>
        <v>2119</v>
      </c>
      <c r="G23" s="1147">
        <f t="shared" si="4"/>
        <v>423.8</v>
      </c>
      <c r="H23" s="1146">
        <f>SUBTOTAL(9,H16:H22)</f>
        <v>29</v>
      </c>
      <c r="I23" s="1147">
        <f>IF(ISNUMBER(H23/B23),H23/B23," - ")</f>
        <v>5.8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1076</v>
      </c>
      <c r="E31" s="1085">
        <f>IF(ISNUMBER(D31/B31),D31/B31," - ")</f>
        <v>89.666666666666671</v>
      </c>
      <c r="F31" s="1084">
        <f>SUBTOTAL(9,F8:F30)</f>
        <v>3320</v>
      </c>
      <c r="G31" s="1085">
        <f>IF(ISNUMBER(F31/B31),F31/B31," - ")</f>
        <v>276.66666666666669</v>
      </c>
      <c r="H31" s="1084">
        <f>SUBTOTAL(9,H8:H30)</f>
        <v>1220</v>
      </c>
      <c r="I31" s="1085">
        <f>IF(ISNUMBER(H31/B31),H31/B31," - ")</f>
        <v>101.66666666666667</v>
      </c>
    </row>
    <row r="34" spans="1:1">
      <c r="A34" s="439" t="str">
        <f>Criterios!A4</f>
        <v>Fecha Informe: 06 may. 2023</v>
      </c>
    </row>
    <row r="39" spans="1:1">
      <c r="A39" s="462"/>
    </row>
  </sheetData>
  <sheetProtection algorithmName="SHA-512" hashValue="8ooSGuKDauOsjCySL9Z7fxjy9rJ9q2ul3lecsxhvhlIJm15wwmRmfue0WmTNxyj0rtjuOOb9RUgWRdI4Bovj9g==" saltValue="msl2DZoqIAwc01nupGPu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BADAJOZ</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641</v>
      </c>
      <c r="C9" s="489">
        <f>IF(ISNUMBER(Datos!Q9),Datos!Q9," - ")</f>
        <v>404</v>
      </c>
      <c r="D9" s="456">
        <f>IF(ISNUMBER(Datos!R9),Datos!R9," - ")</f>
        <v>7612</v>
      </c>
    </row>
    <row r="10" spans="1:4">
      <c r="A10" s="450" t="str">
        <f>Datos!A10</f>
        <v>Jdos. Violencia contra la mujer</v>
      </c>
      <c r="B10" s="488">
        <f>IF(ISNUMBER(Datos!P10),Datos!P10," - ")</f>
        <v>11</v>
      </c>
      <c r="C10" s="489">
        <f>IF(ISNUMBER(Datos!Q10),Datos!Q10," - ")</f>
        <v>4</v>
      </c>
      <c r="D10" s="456">
        <f>IF(ISNUMBER(Datos!R10),Datos!R10," - ")</f>
        <v>77</v>
      </c>
    </row>
    <row r="11" spans="1:4">
      <c r="A11" s="450" t="str">
        <f>Datos!A11</f>
        <v xml:space="preserve">Jdos. Familia                                   </v>
      </c>
      <c r="B11" s="488">
        <f>IF(ISNUMBER(Datos!P11),Datos!P11," - ")</f>
        <v>54</v>
      </c>
      <c r="C11" s="489">
        <f>IF(ISNUMBER(Datos!Q11),Datos!Q11," - ")</f>
        <v>27</v>
      </c>
      <c r="D11" s="456">
        <f>IF(ISNUMBER(Datos!R11),Datos!R11," - ")</f>
        <v>389</v>
      </c>
    </row>
    <row r="12" spans="1:4">
      <c r="A12" s="450" t="str">
        <f>Datos!A12</f>
        <v xml:space="preserve">Jdos. 1ª Instª. e Instr.                        </v>
      </c>
      <c r="B12" s="488">
        <f>IF(ISNUMBER(Datos!P12),Datos!P12," - ")</f>
        <v>1</v>
      </c>
      <c r="C12" s="489">
        <f>IF(ISNUMBER(Datos!Q12),Datos!Q12," - ")</f>
        <v>0</v>
      </c>
      <c r="D12" s="456">
        <f>IF(ISNUMBER(Datos!R12),Datos!R12," - ")</f>
        <v>107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707</v>
      </c>
      <c r="C14" s="1150">
        <f>SUBTOTAL(9,C9:C13)</f>
        <v>435</v>
      </c>
      <c r="D14" s="1148">
        <f>SUBTOTAL(9,D9:D13)</f>
        <v>8185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123</v>
      </c>
      <c r="C16" s="489">
        <f>IF(ISNUMBER(Datos!Q16),Datos!Q16," - ")</f>
        <v>130</v>
      </c>
      <c r="D16" s="456">
        <f>IF(ISNUMBER(Datos!R16),Datos!R16," - ")</f>
        <v>174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6</v>
      </c>
      <c r="C18" s="489">
        <f>IF(ISNUMBER(Datos!Q18),Datos!Q18," - ")</f>
        <v>5</v>
      </c>
      <c r="D18" s="456">
        <f>IF(ISNUMBER(Datos!R18),Datos!R18," - ")</f>
        <v>17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129</v>
      </c>
      <c r="C23" s="1150">
        <f>SUBTOTAL(9,C16:C22)</f>
        <v>135</v>
      </c>
      <c r="D23" s="1148">
        <f>SUBTOTAL(9,D16:D22)</f>
        <v>191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836</v>
      </c>
      <c r="C31" s="1089">
        <f>SUBTOTAL(9,C8:C30)</f>
        <v>570</v>
      </c>
      <c r="D31" s="1090">
        <f>SUBTOTAL(9,D8:D30)</f>
        <v>8376</v>
      </c>
    </row>
    <row r="32" spans="1:4" ht="7.5" customHeight="1"/>
    <row r="33" spans="1:1" ht="6" customHeight="1"/>
    <row r="34" spans="1:1">
      <c r="A34" s="439" t="str">
        <f>Criterios!A4</f>
        <v>Fecha Informe: 06 may. 2023</v>
      </c>
    </row>
    <row r="39" spans="1:1">
      <c r="A39" s="462"/>
    </row>
  </sheetData>
  <sheetProtection algorithmName="SHA-512" hashValue="P4JD9CfKmTzp1X0tCxsNxdwCFTnUq2R0cG1sZ/UnaSMHUetCT8XO2pmrCdYoyCHrtfMAxMnwnN7H1mpu4Cqj5w==" saltValue="POCarNESfXpTdKIOjWJm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BADAJOZ</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6.2255723059743161E-2</v>
      </c>
      <c r="C9" s="515">
        <f>IF(ISNUMBER(
   IF(J_V="SI",(Datos!J9-Datos!T9)/Datos!T9,(Datos!J9+Datos!Z9-(Datos!T9+Datos!AH9))/(Datos!T9+Datos!AH9))
     ),IF(J_V="SI",(Datos!J9-Datos!T9)/Datos!T9,(Datos!J9+Datos!Z9-(Datos!T9+Datos!AH9))/(Datos!T9+Datos!AH9))," - ")</f>
        <v>0.32583682008368203</v>
      </c>
      <c r="D9" s="515">
        <f>IF(ISNUMBER(
   IF(J_V="SI",(Datos!K9-Datos!U9)/Datos!U9,(Datos!K9+Datos!AA9-(Datos!U9+Datos!AI9))/(Datos!U9+Datos!AI9))
     ),IF(J_V="SI",(Datos!K9-Datos!U9)/Datos!U9,(Datos!K9+Datos!AA9-(Datos!U9+Datos!AI9))/(Datos!U9+Datos!AI9))," - ")</f>
        <v>0.29870828848223896</v>
      </c>
      <c r="E9" s="515">
        <f>IF(ISNUMBER(
   IF(J_V="SI",(Datos!L9-Datos!V9)/Datos!V9,(Datos!L9+Datos!AB9-(Datos!V9+Datos!AJ9))/(Datos!V9+Datos!AJ9))
     ),IF(J_V="SI",(Datos!L9-Datos!V9)/Datos!V9,(Datos!L9+Datos!AB9-(Datos!V9+Datos!AJ9))/(Datos!V9+Datos!AJ9))," - ")</f>
        <v>2.5852585258525851E-2</v>
      </c>
      <c r="F9" s="515">
        <f>IF(ISNUMBER((Datos!M9-Datos!W9)/Datos!W9),(Datos!M9-Datos!W9)/Datos!W9," - ")</f>
        <v>7.8774617067833702E-2</v>
      </c>
      <c r="G9" s="516">
        <f>IF(ISNUMBER((Datos!N9-Datos!X9)/Datos!X9),(Datos!N9-Datos!X9)/Datos!X9," - ")</f>
        <v>0.79327731092436971</v>
      </c>
      <c r="H9" s="514">
        <f>IF(ISNUMBER(((NºAsuntos!G9/NºAsuntos!E9)-Datos!BD9)/Datos!BD9),((NºAsuntos!G9/NºAsuntos!E9)-Datos!BD9)/Datos!BD9," - ")</f>
        <v>-2.0461440797616925E-2</v>
      </c>
      <c r="I9" s="515">
        <f>IF(ISNUMBER(((NºAsuntos!I9/NºAsuntos!G9)-Datos!BE9)/Datos!BE9),((NºAsuntos!I9/NºAsuntos!G9)-Datos!BE9)/Datos!BE9," - ")</f>
        <v>-0.21009776070852001</v>
      </c>
      <c r="J9" s="521">
        <f>IF(ISNUMBER((('Resol  Asuntos'!D9/NºAsuntos!G9)-Datos!BF9)/Datos!BF9),(('Resol  Asuntos'!D9/NºAsuntos!G9)-Datos!BF9)/Datos!BF9," - ")</f>
        <v>-0.36200343378130362</v>
      </c>
      <c r="K9" s="522">
        <f>IF(ISNUMBER((((NºAsuntos!C9+NºAsuntos!E9)/NºAsuntos!G9)-Datos!BG9)/Datos!BG9),(((NºAsuntos!C9+NºAsuntos!E9)/NºAsuntos!G9)-Datos!BG9)/Datos!BG9," - ")</f>
        <v>-0.1114354339911332</v>
      </c>
    </row>
    <row r="10" spans="1:11">
      <c r="A10" s="450" t="str">
        <f>Datos!A10</f>
        <v>Jdos. Violencia contra la mujer</v>
      </c>
      <c r="B10" s="514">
        <f>IF(ISNUMBER((Datos!I10-Datos!S10)/Datos!S10),(Datos!I10-Datos!S10)/Datos!S10," - ")</f>
        <v>0.26530612244897961</v>
      </c>
      <c r="C10" s="515">
        <f>IF(ISNUMBER((Datos!J10-Datos!T10)/Datos!T10),(Datos!J10-Datos!T10)/Datos!T10," - ")</f>
        <v>-2.4390243902439025E-2</v>
      </c>
      <c r="D10" s="515">
        <f>IF(ISNUMBER((Datos!K10-Datos!U10)/Datos!U10),(Datos!K10-Datos!U10)/Datos!U10," - ")</f>
        <v>0</v>
      </c>
      <c r="E10" s="515">
        <f>IF(ISNUMBER((Datos!L10-Datos!V10)/Datos!V10),(Datos!L10-Datos!V10)/Datos!V10," - ")</f>
        <v>0.20338983050847459</v>
      </c>
      <c r="F10" s="515">
        <f>IF(ISNUMBER((Datos!M10-Datos!W10)/Datos!W10),(Datos!M10-Datos!W10)/Datos!W10," - ")</f>
        <v>0.13333333333333333</v>
      </c>
      <c r="G10" s="516">
        <f>IF(ISNUMBER((Datos!N10-Datos!X10)/Datos!X10),(Datos!N10-Datos!X10)/Datos!X10," - ")</f>
        <v>-0.5</v>
      </c>
      <c r="H10" s="514">
        <f>IF(ISNUMBER(((NºAsuntos!G10/NºAsuntos!E10)-Datos!BD10)/Datos!BD10),((NºAsuntos!G10/NºAsuntos!E10)-Datos!BD10)/Datos!BD10," - ")</f>
        <v>2.5000000000000022E-2</v>
      </c>
      <c r="I10" s="515">
        <f>IF(ISNUMBER(((NºAsuntos!I10/NºAsuntos!G10)-Datos!BE10)/Datos!BE10),((NºAsuntos!I10/NºAsuntos!G10)-Datos!BE10)/Datos!BE10," - ")</f>
        <v>0.20338983050847462</v>
      </c>
      <c r="J10" s="521">
        <f>IF(ISNUMBER((('Resol  Asuntos'!D10/NºAsuntos!G10)-Datos!BF10)/Datos!BF10),(('Resol  Asuntos'!D10/NºAsuntos!G10)-Datos!BF10)/Datos!BF10," - ")</f>
        <v>0.13333333333333322</v>
      </c>
      <c r="K10" s="522">
        <f>IF(ISNUMBER((((NºAsuntos!C10+NºAsuntos!E10)/NºAsuntos!G10)-Datos!BG10)/Datos!BG10),(((NºAsuntos!C10+NºAsuntos!E10)/NºAsuntos!G10)-Datos!BG10)/Datos!BG10," - ")</f>
        <v>0.13333333333333336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-7.0491803278688522E-2</v>
      </c>
      <c r="C11" s="515">
        <f>IF(ISNUMBER(
   IF(J_V="SI",(Datos!J11-Datos!T11)/Datos!T11,(Datos!J11+Datos!Z11-(Datos!T11+Datos!AH11))/(Datos!T11+Datos!AH11))
     ),IF(J_V="SI",(Datos!J11-Datos!T11)/Datos!T11,(Datos!J11+Datos!Z11-(Datos!T11+Datos!AH11))/(Datos!T11+Datos!AH11))," - ")</f>
        <v>-2.0648967551622419E-2</v>
      </c>
      <c r="D11" s="515">
        <f>IF(ISNUMBER(
   IF(J_V="SI",(Datos!K11-Datos!U11)/Datos!U11,(Datos!K11+Datos!AA11-(Datos!U11+Datos!AI11))/(Datos!U11+Datos!AI11))
     ),IF(J_V="SI",(Datos!K11-Datos!U11)/Datos!U11,(Datos!K11+Datos!AA11-(Datos!U11+Datos!AI11))/(Datos!U11+Datos!AI11))," - ")</f>
        <v>4.7761194029850747E-2</v>
      </c>
      <c r="E11" s="515">
        <f>IF(ISNUMBER(
   IF(J_V="SI",(Datos!L11-Datos!V11)/Datos!V11,(Datos!L11+Datos!AB11-(Datos!V11+Datos!AJ11))/(Datos!V11+Datos!AJ11))
     ),IF(J_V="SI",(Datos!L11-Datos!V11)/Datos!V11,(Datos!L11+Datos!AB11-(Datos!V11+Datos!AJ11))/(Datos!V11+Datos!AJ11))," - ")</f>
        <v>-8.3612040133779264E-2</v>
      </c>
      <c r="F11" s="515">
        <f>IF(ISNUMBER((Datos!M11-Datos!W11)/Datos!W11),(Datos!M11-Datos!W11)/Datos!W11," - ")</f>
        <v>-0.16071428571428573</v>
      </c>
      <c r="G11" s="516">
        <f>IF(ISNUMBER((Datos!N11-Datos!X11)/Datos!X11),(Datos!N11-Datos!X11)/Datos!X11," - ")</f>
        <v>0.29292929292929293</v>
      </c>
      <c r="H11" s="514">
        <f>IF(ISNUMBER(((NºAsuntos!G11/NºAsuntos!E11)-Datos!BD11)/Datos!BD11),((NºAsuntos!G11/NºAsuntos!E11)-Datos!BD11)/Datos!BD11," - ")</f>
        <v>6.9852544506383854E-2</v>
      </c>
      <c r="I11" s="515">
        <f>IF(ISNUMBER(((NºAsuntos!I11/NºAsuntos!G11)-Datos!BE11)/Datos!BE11),((NºAsuntos!I11/NºAsuntos!G11)-Datos!BE11)/Datos!BE11," - ")</f>
        <v>-0.12538471066899165</v>
      </c>
      <c r="J11" s="521">
        <f>IF(ISNUMBER((('Resol  Asuntos'!D11/NºAsuntos!G11)-Datos!BF11)/Datos!BF11),(('Resol  Asuntos'!D11/NºAsuntos!G11)-Datos!BF11)/Datos!BF11," - ")</f>
        <v>0.35931969265302605</v>
      </c>
      <c r="K11" s="522">
        <f>IF(ISNUMBER((((NºAsuntos!C11+NºAsuntos!E11)/NºAsuntos!G11)-Datos!BG11)/Datos!BG11),(((NºAsuntos!C11+NºAsuntos!E11)/NºAsuntos!G11)-Datos!BG11)/Datos!BG11," - ")</f>
        <v>-9.5869396185518457E-2</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v>
      </c>
      <c r="C12" s="515">
        <f>IF(ISNUMBER(
   IF(J_V="SI",(Datos!J12-Datos!T12)/Datos!T12,(Datos!J12+Datos!Z12-(Datos!T12+Datos!AH12))/(Datos!T12+Datos!AH12))
     ),IF(J_V="SI",(Datos!J12-Datos!T12)/Datos!T12,(Datos!J12+Datos!Z12-(Datos!T12+Datos!AH12))/(Datos!T12+Datos!AH12))," - ")</f>
        <v>-1</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-0.3</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4.3713278495887194E-2</v>
      </c>
      <c r="C14" s="1152">
        <f>IF(ISNUMBER(
   IF(J_V="SI",(Datos!J14-Datos!T14)/Datos!T14,(Datos!J14+Datos!Z14-(Datos!T14+Datos!AH14))/(Datos!T14+Datos!AH14))
     ),IF(J_V="SI",(Datos!J14-Datos!T14)/Datos!T14,(Datos!J14+Datos!Z14-(Datos!T14+Datos!AH14))/(Datos!T14+Datos!AH14))," - ")</f>
        <v>0.26611498257839722</v>
      </c>
      <c r="D14" s="1152">
        <f>IF(ISNUMBER(
   IF(J_V="SI",(Datos!K14-Datos!U14)/Datos!U14,(Datos!K14+Datos!AA14-(Datos!U14+Datos!AI14))/(Datos!U14+Datos!AI14))
     ),IF(J_V="SI",(Datos!K14-Datos!U14)/Datos!U14,(Datos!K14+Datos!AA14-(Datos!U14+Datos!AI14))/(Datos!U14+Datos!AI14))," - ")</f>
        <v>0.25561545372866129</v>
      </c>
      <c r="E14" s="1152">
        <f>IF(ISNUMBER(
   IF(J_V="SI",(Datos!L14-Datos!V14)/Datos!V14,(Datos!L14+Datos!AB14-(Datos!V14+Datos!AJ14))/(Datos!V14+Datos!AJ14))
     ),IF(J_V="SI",(Datos!L14-Datos!V14)/Datos!V14,(Datos!L14+Datos!AB14-(Datos!V14+Datos!AJ14))/(Datos!V14+Datos!AJ14))," - ")</f>
        <v>1.2316988147803859E-2</v>
      </c>
      <c r="F14" s="1153">
        <f>IF(ISNUMBER((Datos!M14-Datos!W14)/Datos!W14),(Datos!M14-Datos!W14)/Datos!W14," - ")</f>
        <v>1.7187500000000001E-2</v>
      </c>
      <c r="G14" s="1154">
        <f>IF(ISNUMBER((Datos!N14-Datos!X14)/Datos!X14),(Datos!N14-Datos!X14)/Datos!X14," - ")</f>
        <v>0.70113314447592068</v>
      </c>
      <c r="H14" s="1154">
        <f>IF(ISNUMBER(((NºAsuntos!G14/NºAsuntos!E14)-Datos!BD14)/Datos!BD14),((NºAsuntos!G14/NºAsuntos!E14)-Datos!BD14)/Datos!BD14," - ")</f>
        <v>-8.2927135325056005E-3</v>
      </c>
      <c r="I14" s="1154">
        <f>IF(ISNUMBER(((NºAsuntos!I14/NºAsuntos!G14)-Datos!BE14)/Datos!BE14),((NºAsuntos!I14/NºAsuntos!G14)-Datos!BE14)/Datos!BE14," - ")</f>
        <v>-0.19376829494919096</v>
      </c>
      <c r="J14" s="1154">
        <f>IF(ISNUMBER((('Resol  Asuntos'!D14/NºAsuntos!G14)-Datos!BF14)/Datos!BF14),(('Resol  Asuntos'!D14/NºAsuntos!G14)-Datos!BF14)/Datos!BF14," - ")</f>
        <v>-0.26872942061055027</v>
      </c>
      <c r="K14" s="1154">
        <f>IF(ISNUMBER((((NºAsuntos!C14+NºAsuntos!E14)/NºAsuntos!G14)-Datos!BG14)/Datos!BG14),(((NºAsuntos!C14+NºAsuntos!E14)/NºAsuntos!G14)-Datos!BG14)/Datos!BG14," - ")</f>
        <v>-0.10668444561441547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-2.7936962750716332E-2</v>
      </c>
      <c r="C16" s="515">
        <f>IF(ISNUMBER(
   IF(D_I="SI",(Datos!J16-Datos!T16)/Datos!T16,(Datos!J16+Datos!AD16-(Datos!T16+Datos!AL16))/(Datos!T16+Datos!AL16))
     ),IF(D_I="SI",(Datos!J16-Datos!T16)/Datos!T16,(Datos!J16+Datos!AD16-(Datos!T16+Datos!AL16))/(Datos!T16+Datos!AL16))," - ")</f>
        <v>0.1423076923076923</v>
      </c>
      <c r="D16" s="515">
        <f>IF(ISNUMBER(
   IF(D_I="SI",(Datos!K16-Datos!U16)/Datos!U16,(Datos!K16+Datos!AE16-(Datos!U16+Datos!AM16))/(Datos!U16+Datos!AM16))
     ),IF(D_I="SI",(Datos!K16-Datos!U16)/Datos!U16,(Datos!K16+Datos!AE16-(Datos!U16+Datos!AM16))/(Datos!U16+Datos!AM16))," - ")</f>
        <v>0.13299232736572891</v>
      </c>
      <c r="E16" s="515">
        <f>IF(ISNUMBER(
   IF(D_I="SI",(Datos!L16-Datos!V16)/Datos!V16,(Datos!L16+Datos!AF16-(Datos!V16+Datos!AN16))/(Datos!V16+Datos!AN16))
     ),IF(D_I="SI",(Datos!L16-Datos!V16)/Datos!V16,(Datos!L16+Datos!AF16-(Datos!V16+Datos!AN16))/(Datos!V16+Datos!AN16))," - ")</f>
        <v>-2.7152831652443754E-2</v>
      </c>
      <c r="F16" s="515">
        <f>IF(ISNUMBER((Datos!M16-Datos!W16)/Datos!W16),(Datos!M16-Datos!W16)/Datos!W16," - ")</f>
        <v>-5.6930693069306933E-2</v>
      </c>
      <c r="G16" s="516">
        <f>IF(ISNUMBER((Datos!N16-Datos!X16)/Datos!X16),(Datos!N16-Datos!X16)/Datos!X16," - ")</f>
        <v>0.16039952996474735</v>
      </c>
      <c r="H16" s="514">
        <f>IF(ISNUMBER(((NºAsuntos!G16/NºAsuntos!E16)-Datos!BD16)/Datos!BD16),((NºAsuntos!G16/NºAsuntos!E16)-Datos!BD16)/Datos!BD16," - ")</f>
        <v>-8.1548649323583515E-3</v>
      </c>
      <c r="I16" s="515">
        <f>IF(ISNUMBER(((NºAsuntos!I16/NºAsuntos!G16)-Datos!BE16)/Datos!BE16),((NºAsuntos!I16/NºAsuntos!G16)-Datos!BE16)/Datos!BE16," - ")</f>
        <v>-0.14134708166163773</v>
      </c>
      <c r="J16" s="521">
        <f>IF(ISNUMBER((('Resol  Asuntos'!D16/NºAsuntos!G16)-Datos!BF16)/Datos!BF16),(('Resol  Asuntos'!D16/NºAsuntos!G16)-Datos!BF16)/Datos!BF16," - ")</f>
        <v>-0.16762957334108125</v>
      </c>
      <c r="K16" s="522">
        <f>IF(ISNUMBER((((NºAsuntos!C16+NºAsuntos!E16)/NºAsuntos!G16)-Datos!BG16)/Datos!BG16),(((NºAsuntos!C16+NºAsuntos!E16)/NºAsuntos!G16)-Datos!BG16)/Datos!BG16," - ")</f>
        <v>-4.4271698334903846E-2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-0.34375</v>
      </c>
      <c r="C18" s="515">
        <f>IF(ISNUMBER(
   IF(D_I="SI",(Datos!J18-Datos!T18)/Datos!T18,(Datos!J18+Datos!AD18-(Datos!T18+Datos!AL18))/(Datos!T18+Datos!AL18))
     ),IF(D_I="SI",(Datos!J18-Datos!T18)/Datos!T18,(Datos!J18+Datos!AD18-(Datos!T18+Datos!AL18))/(Datos!T18+Datos!AL18))," - ")</f>
        <v>-1.8181818181818181E-2</v>
      </c>
      <c r="D18" s="515">
        <f>IF(ISNUMBER(
   IF(D_I="SI",(Datos!K18-Datos!U18)/Datos!U18,(Datos!K18+Datos!AE18-(Datos!U18+Datos!AM18))/(Datos!U18+Datos!AM18))
     ),IF(D_I="SI",(Datos!K18-Datos!U18)/Datos!U18,(Datos!K18+Datos!AE18-(Datos!U18+Datos!AM18))/(Datos!U18+Datos!AM18))," - ")</f>
        <v>-4.3668122270742356E-2</v>
      </c>
      <c r="E18" s="515">
        <f>IF(ISNUMBER(
   IF(D_I="SI",(Datos!L18-Datos!V18)/Datos!V18,(Datos!L18+Datos!AF18-(Datos!V18+Datos!AN18))/(Datos!V18+Datos!AN18))
     ),IF(D_I="SI",(Datos!L18-Datos!V18)/Datos!V18,(Datos!L18+Datos!AF18-(Datos!V18+Datos!AN18))/(Datos!V18+Datos!AN18))," - ")</f>
        <v>-0.29090909090909089</v>
      </c>
      <c r="F18" s="515">
        <f>IF(ISNUMBER((Datos!M18-Datos!W18)/Datos!W18),(Datos!M18-Datos!W18)/Datos!W18," - ")</f>
        <v>0</v>
      </c>
      <c r="G18" s="516">
        <f>IF(ISNUMBER((Datos!N18-Datos!X18)/Datos!X18),(Datos!N18-Datos!X18)/Datos!X18," - ")</f>
        <v>0.27433628318584069</v>
      </c>
      <c r="H18" s="514">
        <f>IF(ISNUMBER(((NºAsuntos!G18/NºAsuntos!E18)-Datos!BD18)/Datos!BD18),((NºAsuntos!G18/NºAsuntos!E18)-Datos!BD18)/Datos!BD18," - ")</f>
        <v>-2.5958272683163652E-2</v>
      </c>
      <c r="I18" s="515">
        <f>IF(ISNUMBER(((NºAsuntos!I18/NºAsuntos!G18)-Datos!BE18)/Datos!BE18),((NºAsuntos!I18/NºAsuntos!G18)-Datos!BE18)/Datos!BE18," - ")</f>
        <v>-0.25853051058530518</v>
      </c>
      <c r="J18" s="521">
        <f>IF(ISNUMBER((('Resol  Asuntos'!D18/NºAsuntos!G18)-Datos!BF18)/Datos!BF18),(('Resol  Asuntos'!D18/NºAsuntos!G18)-Datos!BF18)/Datos!BF18," - ")</f>
        <v>4.5662100456620926E-2</v>
      </c>
      <c r="K18" s="522">
        <f>IF(ISNUMBER((((NºAsuntos!C18+NºAsuntos!E18)/NºAsuntos!G18)-Datos!BG18)/Datos!BG18),(((NºAsuntos!C18+NºAsuntos!E18)/NºAsuntos!G18)-Datos!BG18)/Datos!BG18," - ")</f>
        <v>-5.0067528458421731E-2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-4.1780821917808221E-2</v>
      </c>
      <c r="C23" s="1152">
        <f>IF(ISNUMBER(
   IF(Criterios!B14="SI",(Datos!J23-Datos!T23)/Datos!T23,(Datos!J23+Datos!AD23-(Datos!T23+Datos!AL23))/(Datos!T23+Datos!AL23))
     ),IF(Criterios!B14="SI",(Datos!J23-Datos!T23)/Datos!T23,(Datos!J23+Datos!AD23-(Datos!T23+Datos!AL23))/(Datos!T23+Datos!AL23))," - ")</f>
        <v>0.12978723404255318</v>
      </c>
      <c r="D23" s="1152">
        <f>IF(ISNUMBER(
   IF(Criterios!B14="SI",(Datos!K23-Datos!U23)/Datos!U23,(Datos!K23+Datos!AE23-(Datos!U23+Datos!AM23))/(Datos!U23+Datos!AM23))
     ),IF(Criterios!B14="SI",(Datos!K23-Datos!U23)/Datos!U23,(Datos!K23+Datos!AE23-(Datos!U23+Datos!AM23))/(Datos!U23+Datos!AM23))," - ")</f>
        <v>0.11935266351989211</v>
      </c>
      <c r="E23" s="1152">
        <f>IF(ISNUMBER(
   IF(Criterios!B14="SI",(Datos!L23-Datos!V23)/Datos!V23,(Datos!L23+Datos!AF23-(Datos!V23+Datos!AN23))/(Datos!V23+Datos!AN23))
     ),IF(Criterios!B14="SI",(Datos!L23-Datos!V23)/Datos!V23,(Datos!L23+Datos!AF23-(Datos!V23+Datos!AN23))/(Datos!V23+Datos!AN23))," - ")</f>
        <v>-3.7946428571428568E-2</v>
      </c>
      <c r="F23" s="1153">
        <f>IF(ISNUMBER((Datos!M23-Datos!W23)/Datos!W23),(Datos!M23-Datos!W23)/Datos!W23," - ")</f>
        <v>-5.1339285714285712E-2</v>
      </c>
      <c r="G23" s="1154">
        <f>IF(ISNUMBER((Datos!N23-Datos!X23)/Datos!X23),(Datos!N23-Datos!X23)/Datos!X23," - ")</f>
        <v>0.1674931129476584</v>
      </c>
      <c r="H23" s="1154">
        <f>IF(ISNUMBER(((NºAsuntos!G23/NºAsuntos!E23)-Datos!BD23)/Datos!BD23),((NºAsuntos!G23/NºAsuntos!E23)-Datos!BD23)/Datos!BD23," - ")</f>
        <v>-9.2358722140314879E-3</v>
      </c>
      <c r="I23" s="1154">
        <f>IF(ISNUMBER(((NºAsuntos!I23/NºAsuntos!G23)-Datos!BE23)/Datos!BE23),((NºAsuntos!I23/NºAsuntos!G23)-Datos!BE23)/Datos!BE23," - ")</f>
        <v>-0.14052683950086059</v>
      </c>
      <c r="J23" s="1154">
        <f>IF(ISNUMBER((('Resol  Asuntos'!D23/NºAsuntos!G23)-Datos!BF23)/Datos!BF23),(('Resol  Asuntos'!D23/NºAsuntos!G23)-Datos!BF23)/Datos!BF23," - ")</f>
        <v>-0.15249166308089496</v>
      </c>
      <c r="K23" s="1154">
        <f>IF(ISNUMBER((((NºAsuntos!C23+NºAsuntos!E23)/NºAsuntos!G23)-Datos!BG23)/Datos!BG23),(((NºAsuntos!C23+NºAsuntos!E23)/NºAsuntos!G23)-Datos!BG23)/Datos!BG23," - ")</f>
        <v>-4.2963207972075174E-2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2.1872265966754154E-2</v>
      </c>
      <c r="C31" s="1092">
        <f>IF(ISNUMBER(
   IF(J_V="SI",(Datos!J31-Datos!T31)/Datos!T31,(Datos!J31+Datos!Z31-(Datos!T31+Datos!AH31))/(Datos!T31+Datos!AH31))
     ),IF(J_V="SI",(Datos!J31-Datos!T31)/Datos!T31,(Datos!J31+Datos!Z31-(Datos!T31+Datos!AH31))/(Datos!T31+Datos!AH31))," - ")</f>
        <v>0.19096950742767788</v>
      </c>
      <c r="D31" s="1092">
        <f>IF(ISNUMBER(
   IF(J_V="SI",(Datos!K31-Datos!U31)/Datos!U31,(Datos!K31+Datos!AA31-(Datos!U31+Datos!AI31))/(Datos!U31+Datos!AI31))
     ),IF(J_V="SI",(Datos!K31-Datos!U31)/Datos!U31,(Datos!K31+Datos!AA31-(Datos!U31+Datos!AI31))/(Datos!U31+Datos!AI31))," - ")</f>
        <v>0.17777349768875192</v>
      </c>
      <c r="E31" s="1092">
        <f>IF(ISNUMBER(
   IF(J_V="SI",(Datos!L31-Datos!V31)/Datos!V31,(Datos!L31+Datos!AB31-(Datos!V31+Datos!AJ31))/(Datos!V31+Datos!AJ31))
     ),IF(J_V="SI",(Datos!L31-Datos!V31)/Datos!V31,(Datos!L31+Datos!AB31-(Datos!V31+Datos!AJ31))/(Datos!V31+Datos!AJ31))," - ")</f>
        <v>3.5417035594120772E-4</v>
      </c>
      <c r="F31" s="1093">
        <f>IF(ISNUMBER((Datos!M31-Datos!W31)/Datos!W31),(Datos!M31-Datos!W31)/Datos!W31," - ")</f>
        <v>-1.1029411764705883E-2</v>
      </c>
      <c r="G31" s="1094">
        <f>IF(ISNUMBER((Datos!N31-Datos!X31)/Datos!X31),(Datos!N31-Datos!X31)/Datos!X31," - ")</f>
        <v>0.31693772312574375</v>
      </c>
      <c r="H31" s="1095">
        <f>IF(ISNUMBER((Tasas!B31-Datos!BD31)/Datos!BD31),(Tasas!B31-Datos!BD31)/Datos!BD31," - ")</f>
        <v>-1.1080056757647392E-2</v>
      </c>
      <c r="I31" s="1096">
        <f>IF(ISNUMBER((Tasas!C31-Datos!BE31)/Datos!BE31),(Tasas!C31-Datos!BE31)/Datos!BE31," - ")</f>
        <v>-0.15063959893899476</v>
      </c>
      <c r="J31" s="1097">
        <f>IF(ISNUMBER((Tasas!D31-Datos!BF31)/Datos!BF31),(Tasas!D31-Datos!BF31)/Datos!BF31," - ")</f>
        <v>-0.21038182742042294</v>
      </c>
      <c r="K31" s="1097">
        <f>IF(ISNUMBER((Tasas!E31-Datos!BG31)/Datos!BG31),(Tasas!E31-Datos!BG31)/Datos!BG31," - ")</f>
        <v>-6.4552740071897818E-2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IrUTHEgndTHMqYhZJ8ZG4S3culPw0ZeTNv+O/xwcgOs+NJiH0N8z7iPepptM+xUtC3/mzhohPRw0Rr/tV1kuQ==" saltValue="hsA+T31CDkOo55VcxLq0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BADAJOZ</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0.95187376725838269</v>
      </c>
      <c r="C9" s="498">
        <f>IF(ISNUMBER(NºAsuntos!I9/NºAsuntos!G9),NºAsuntos!I9/NºAsuntos!G9," - ")</f>
        <v>1.5457936179030254</v>
      </c>
      <c r="D9" s="499">
        <f>IF(ISNUMBER('Resol  Asuntos'!D9/NºAsuntos!G9),'Resol  Asuntos'!D9/NºAsuntos!G9," - ")</f>
        <v>0.20430998756734356</v>
      </c>
      <c r="E9" s="500">
        <f>IF(ISNUMBER((NºAsuntos!C9+NºAsuntos!E9)/NºAsuntos!G9),(NºAsuntos!C9+NºAsuntos!E9)/NºAsuntos!G9," - ")</f>
        <v>2.6274347285536677</v>
      </c>
      <c r="G9" s="523"/>
    </row>
    <row r="10" spans="1:7">
      <c r="A10" s="450" t="str">
        <f>Datos!A10</f>
        <v>Jdos. Violencia contra la mujer</v>
      </c>
      <c r="B10" s="497">
        <f>IF(ISNUMBER(NºAsuntos!G10/NºAsuntos!E10),NºAsuntos!G10/NºAsuntos!E10," - ")</f>
        <v>0.77500000000000002</v>
      </c>
      <c r="C10" s="498">
        <f>IF(ISNUMBER(NºAsuntos!I10/NºAsuntos!G10),NºAsuntos!I10/NºAsuntos!G10," - ")</f>
        <v>2.2903225806451615</v>
      </c>
      <c r="D10" s="499">
        <f>IF(ISNUMBER('Resol  Asuntos'!D10/NºAsuntos!G10),'Resol  Asuntos'!D10/NºAsuntos!G10," - ")</f>
        <v>0.54838709677419351</v>
      </c>
      <c r="E10" s="500">
        <f>IF(ISNUMBER((NºAsuntos!C10+NºAsuntos!E10)/NºAsuntos!G10),(NºAsuntos!C10+NºAsuntos!E10)/NºAsuntos!G10," - ")</f>
        <v>3.2903225806451615</v>
      </c>
      <c r="G10" s="523"/>
    </row>
    <row r="11" spans="1:7">
      <c r="A11" s="450" t="str">
        <f>Datos!A11</f>
        <v xml:space="preserve">Jdos. Familia                                   </v>
      </c>
      <c r="B11" s="497">
        <f>IF(ISNUMBER(NºAsuntos!G11/NºAsuntos!E11),NºAsuntos!G11/NºAsuntos!E11," - ")</f>
        <v>1.0572289156626506</v>
      </c>
      <c r="C11" s="498">
        <f>IF(ISNUMBER(NºAsuntos!I11/NºAsuntos!G11),NºAsuntos!I11/NºAsuntos!G11," - ")</f>
        <v>1.5612535612535612</v>
      </c>
      <c r="D11" s="499">
        <f>IF(ISNUMBER('Resol  Asuntos'!D11/NºAsuntos!G11),'Resol  Asuntos'!D11/NºAsuntos!G11," - ")</f>
        <v>0.40170940170940173</v>
      </c>
      <c r="E11" s="500">
        <f>IF(ISNUMBER((NºAsuntos!C11+NºAsuntos!E11)/NºAsuntos!G11),(NºAsuntos!C11+NºAsuntos!E11)/NºAsuntos!G11," - ")</f>
        <v>2.5612535612535612</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0.96147230822153418</v>
      </c>
      <c r="C14" s="1156">
        <f>IF(ISNUMBER(NºAsuntos!I14/NºAsuntos!G14),NºAsuntos!I14/NºAsuntos!G14," - ")</f>
        <v>1.5584973166368514</v>
      </c>
      <c r="D14" s="1157">
        <f>IF(ISNUMBER('Resol  Asuntos'!D14/NºAsuntos!G14),'Resol  Asuntos'!D14/NºAsuntos!G14," - ")</f>
        <v>0.2329159212880143</v>
      </c>
      <c r="E14" s="1158">
        <f>IF(ISNUMBER((NºAsuntos!C14+NºAsuntos!E14)/NºAsuntos!G14),(NºAsuntos!C14+NºAsuntos!E14)/NºAsuntos!G14," - ")</f>
        <v>2.6289803220035779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1.0441077441077442</v>
      </c>
      <c r="C16" s="498">
        <f>IF(ISNUMBER(NºAsuntos!I16/NºAsuntos!G16),NºAsuntos!I16/NºAsuntos!G16," - ")</f>
        <v>0.40438568203805225</v>
      </c>
      <c r="D16" s="499">
        <f>IF(ISNUMBER('Resol  Asuntos'!D16/NºAsuntos!G16),'Resol  Asuntos'!D16/NºAsuntos!G16," - ")</f>
        <v>0.12286359238955176</v>
      </c>
      <c r="E16" s="500">
        <f>IF(ISNUMBER((NºAsuntos!C16+NºAsuntos!E16)/NºAsuntos!G16),(NºAsuntos!C16+NºAsuntos!E16)/NºAsuntos!G16," - ")</f>
        <v>1.3953563366655917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1.0138888888888888</v>
      </c>
      <c r="C18" s="498">
        <f>IF(ISNUMBER(NºAsuntos!I18/NºAsuntos!G18),NºAsuntos!I18/NºAsuntos!G18," - ")</f>
        <v>0.17808219178082191</v>
      </c>
      <c r="D18" s="499">
        <f>IF(ISNUMBER('Resol  Asuntos'!D18/NºAsuntos!G18),'Resol  Asuntos'!D18/NºAsuntos!G18," - ")</f>
        <v>0.20091324200913241</v>
      </c>
      <c r="E18" s="500">
        <f>IF(ISNUMBER((NºAsuntos!C18+NºAsuntos!E18)/NºAsuntos!G18),(NºAsuntos!C18+NºAsuntos!E18)/NºAsuntos!G18," - ")</f>
        <v>1.178082191780822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1.0420590081607031</v>
      </c>
      <c r="C23" s="1156">
        <f>IF(ISNUMBER(NºAsuntos!I23/NºAsuntos!G23),NºAsuntos!I23/NºAsuntos!G23," - ")</f>
        <v>0.38945783132530121</v>
      </c>
      <c r="D23" s="1159">
        <f>IF(ISNUMBER('Resol  Asuntos'!D23/NºAsuntos!G23),'Resol  Asuntos'!D23/NºAsuntos!G23," - ")</f>
        <v>0.12801204819277109</v>
      </c>
      <c r="E23" s="1158">
        <f>IF(ISNUMBER((NºAsuntos!C23+NºAsuntos!E23)/NºAsuntos!G23),(NºAsuntos!C23+NºAsuntos!E23)/NºAsuntos!G23," - ")</f>
        <v>1.3810240963855422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1.0036107008042014</v>
      </c>
      <c r="C31" s="1099">
        <f>IF(ISNUMBER(NºAsuntos!I31/NºAsuntos!G31),NºAsuntos!I31/NºAsuntos!G31," - ")</f>
        <v>0.9237939493049877</v>
      </c>
      <c r="D31" s="1100">
        <f>IF(ISNUMBER('Resol  Asuntos'!D31/NºAsuntos!G31),'Resol  Asuntos'!D31/NºAsuntos!G31," - ")</f>
        <v>0.17596075224856908</v>
      </c>
      <c r="E31" s="1101">
        <f>IF(ISNUMBER((NºAsuntos!C31+NºAsuntos!E31)/NºAsuntos!G31),(NºAsuntos!C31+NºAsuntos!E31)/NºAsuntos!G31," - ")</f>
        <v>1.9514309076042518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sTNk06UP1I/8Mvr62RVQv2SOC5GRLO7WF6pGGuT6XtMe+WETWfgyryMSRWe7jARQfxMUHd7OR4bzjNef4P+Sw==" saltValue="v6Orz+AhOX5KKTPUNqXjz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BADAJOZ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4 al 4</v>
      </c>
      <c r="D5" s="1628" t="s">
        <v>487</v>
      </c>
      <c r="E5" s="1628" t="s">
        <v>410</v>
      </c>
      <c r="F5" s="1651" t="s">
        <v>523</v>
      </c>
      <c r="G5" s="1654" t="s">
        <v>173</v>
      </c>
      <c r="H5" s="1634" t="s">
        <v>217</v>
      </c>
      <c r="I5" s="1634" t="s">
        <v>221</v>
      </c>
      <c r="J5" s="1634" t="s">
        <v>222</v>
      </c>
      <c r="K5" s="1634" t="s">
        <v>524</v>
      </c>
      <c r="L5" s="1634" t="s">
        <v>780</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1112</v>
      </c>
      <c r="AX5" s="1628" t="s">
        <v>415</v>
      </c>
      <c r="AY5" s="1628" t="s">
        <v>1003</v>
      </c>
      <c r="AZ5" s="1628" t="s">
        <v>1004</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317</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641</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404</v>
      </c>
      <c r="Y9" s="374">
        <f>SUM(W9:X9)</f>
        <v>404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7612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493</v>
      </c>
      <c r="AJ9" s="243" t="str">
        <f>IF(ISNUMBER(Datos!BW9),Datos!BW9," - ")</f>
        <v xml:space="preserve"> - </v>
      </c>
      <c r="AK9" s="242" t="str">
        <f>IF(ISNUMBER(Datos!BX9),Datos!BX9," - ")</f>
        <v xml:space="preserve"> - </v>
      </c>
      <c r="AL9" s="266">
        <f>IF(ISNUMBER(NºAsuntos!G9/NºAsuntos!E9),NºAsuntos!G9/NºAsuntos!E9," - ")</f>
        <v>0.95187376725838269</v>
      </c>
      <c r="AM9" s="284">
        <f>IF(ISNUMBER(((NºAsuntos!I9/NºAsuntos!G9)*11)/factor_trimestre),((NºAsuntos!I9/NºAsuntos!G9)*11)/factor_trimestre," - ")</f>
        <v>4.6373808537090762</v>
      </c>
      <c r="AN9" s="267">
        <f>IF(ISNUMBER('Resol  Asuntos'!D9/NºAsuntos!G9),'Resol  Asuntos'!D9/NºAsuntos!G9," - ")</f>
        <v>0.20430998756734356</v>
      </c>
      <c r="AO9" s="268">
        <f>IF(ISNUMBER((NºAsuntos!C9+NºAsuntos!E9)/NºAsuntos!G9),(NºAsuntos!C9+NºAsuntos!E9)/NºAsuntos!G9," - ")</f>
        <v>2.6274347285536677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62</v>
      </c>
      <c r="G10" s="373">
        <f>IF(ISNUMBER(Datos!I10),Datos!I10," - ")</f>
        <v>62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31</v>
      </c>
      <c r="X10" s="240">
        <f>IF(ISNUMBER(Datos!Q10),Datos!Q10," - ")</f>
        <v>4</v>
      </c>
      <c r="Y10" s="374">
        <f t="shared" ref="Y10:Y13" si="0">SUM(W10:X10)</f>
        <v>35</v>
      </c>
      <c r="Z10" s="375" t="str">
        <f>IF(ISNUMBER(Datos!CC10),Datos!CC10," - ")</f>
        <v xml:space="preserve"> - </v>
      </c>
      <c r="AA10" s="372">
        <f>IF(ISNUMBER(Datos!L10),Datos!L10,"-")</f>
        <v>71</v>
      </c>
      <c r="AB10" s="374">
        <f>IF(ISNUMBER(Datos!R10),Datos!R10," - ")</f>
        <v>77</v>
      </c>
      <c r="AC10" s="374">
        <f t="shared" ref="AC10:AC13" si="1">IF(ISNUMBER(AA10+AB10),AA10+AB10," - ")</f>
        <v>148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17</v>
      </c>
      <c r="AJ10" s="245" t="str">
        <f>IF(ISNUMBER(Datos!BW10),Datos!BW10," - ")</f>
        <v xml:space="preserve"> - </v>
      </c>
      <c r="AK10" s="246" t="str">
        <f>IF(ISNUMBER(Datos!BX10),Datos!BX10," - ")</f>
        <v xml:space="preserve"> - </v>
      </c>
      <c r="AL10" s="266">
        <f>IF(ISNUMBER(NºAsuntos!G10/NºAsuntos!E10),NºAsuntos!G10/NºAsuntos!E10," - ")</f>
        <v>0.77500000000000002</v>
      </c>
      <c r="AM10" s="284">
        <f>IF(ISNUMBER(((NºAsuntos!I10/NºAsuntos!G10)*11)/factor_trimestre),((NºAsuntos!I10/NºAsuntos!G10)*11)/factor_trimestre," - ")</f>
        <v>6.8709677419354849</v>
      </c>
      <c r="AN10" s="267">
        <f>IF(ISNUMBER('Resol  Asuntos'!D10/NºAsuntos!G10),'Resol  Asuntos'!D10/NºAsuntos!G10," - ")</f>
        <v>0.54838709677419351</v>
      </c>
      <c r="AO10" s="268">
        <f>IF(ISNUMBER((NºAsuntos!C10+NºAsuntos!E10)/NºAsuntos!G10),(NºAsuntos!C10+NºAsuntos!E10)/NºAsuntos!G10," - ")</f>
        <v>3.2903225806451615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27</v>
      </c>
      <c r="Y11" s="374">
        <f t="shared" si="0"/>
        <v>27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389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141</v>
      </c>
      <c r="AJ11" s="245" t="str">
        <f>IF(ISNUMBER(Datos!BW11),Datos!BW11," - ")</f>
        <v xml:space="preserve"> - </v>
      </c>
      <c r="AK11" s="246" t="str">
        <f>IF(ISNUMBER(Datos!BX11),Datos!BX11," - ")</f>
        <v xml:space="preserve"> - </v>
      </c>
      <c r="AL11" s="266">
        <f>IF(ISNUMBER(NºAsuntos!G11/NºAsuntos!E11),NºAsuntos!G11/NºAsuntos!E11," - ")</f>
        <v>1.0572289156626506</v>
      </c>
      <c r="AM11" s="284">
        <f>IF(ISNUMBER(((NºAsuntos!I11/NºAsuntos!G11)*11)/factor_trimestre),((NºAsuntos!I11/NºAsuntos!G11)*11)/factor_trimestre," - ")</f>
        <v>4.683760683760684</v>
      </c>
      <c r="AN11" s="267">
        <f>IF(ISNUMBER('Resol  Asuntos'!D11/NºAsuntos!G11),'Resol  Asuntos'!D11/NºAsuntos!G11," - ")</f>
        <v>0.40170940170940173</v>
      </c>
      <c r="AO11" s="268">
        <f>IF(ISNUMBER((NºAsuntos!C11+NºAsuntos!E11)/NºAsuntos!G11),(NºAsuntos!C11+NºAsuntos!E11)/NºAsuntos!G11," - ")</f>
        <v>2.5612535612535612</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62</v>
      </c>
      <c r="G14" s="1163">
        <f t="shared" si="5"/>
        <v>62</v>
      </c>
      <c r="H14" s="1162">
        <f t="shared" si="5"/>
        <v>0</v>
      </c>
      <c r="I14" s="1164">
        <f t="shared" si="5"/>
        <v>0</v>
      </c>
      <c r="J14" s="1164">
        <f t="shared" si="5"/>
        <v>0</v>
      </c>
      <c r="K14" s="1164">
        <f t="shared" si="5"/>
        <v>0</v>
      </c>
      <c r="L14" s="1164">
        <f t="shared" si="5"/>
        <v>707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31</v>
      </c>
      <c r="X14" s="1164">
        <f t="shared" si="6"/>
        <v>435</v>
      </c>
      <c r="Y14" s="1165">
        <f t="shared" si="6"/>
        <v>466</v>
      </c>
      <c r="Z14" s="1165">
        <f t="shared" si="6"/>
        <v>0</v>
      </c>
      <c r="AA14" s="1165">
        <f t="shared" si="6"/>
        <v>71</v>
      </c>
      <c r="AB14" s="1165">
        <f t="shared" si="6"/>
        <v>8185</v>
      </c>
      <c r="AC14" s="1165">
        <f t="shared" si="6"/>
        <v>148</v>
      </c>
      <c r="AD14" s="1165">
        <f t="shared" si="6"/>
        <v>0</v>
      </c>
      <c r="AE14" s="1169">
        <f t="shared" si="6"/>
        <v>0</v>
      </c>
      <c r="AF14" s="1162">
        <f t="shared" si="6"/>
        <v>0</v>
      </c>
      <c r="AG14" s="1170">
        <f t="shared" si="6"/>
        <v>0</v>
      </c>
      <c r="AH14" s="1167">
        <f t="shared" si="6"/>
        <v>0</v>
      </c>
      <c r="AI14" s="1162">
        <f t="shared" si="6"/>
        <v>651</v>
      </c>
      <c r="AJ14" s="1164">
        <f t="shared" si="6"/>
        <v>0</v>
      </c>
      <c r="AK14" s="1167">
        <f>SUBTOTAL(9,AK9:AK13)</f>
        <v>0</v>
      </c>
      <c r="AL14" s="1171">
        <f>IF(ISNUMBER(NºAsuntos!G14/NºAsuntos!E14),NºAsuntos!G14/NºAsuntos!E14," - ")</f>
        <v>0.96147230822153418</v>
      </c>
      <c r="AM14" s="1171">
        <f>IF(ISNUMBER(((NºAsuntos!I14/NºAsuntos!G14)*11)/factor_trimestre),((NºAsuntos!I14/NºAsuntos!G14)*11)/factor_trimestre," - ")</f>
        <v>4.6754919499105547</v>
      </c>
      <c r="AN14" s="1172">
        <f>IF(ISNUMBER('Resol  Asuntos'!D14/NºAsuntos!G14),'Resol  Asuntos'!D14/NºAsuntos!G14," - ")</f>
        <v>0.2329159212880143</v>
      </c>
      <c r="AO14" s="1173">
        <f>IF(ISNUMBER((NºAsuntos!C14+NºAsuntos!E14)/NºAsuntos!G14),(NºAsuntos!C14+NºAsuntos!E14)/NºAsuntos!G14," - ")</f>
        <v>2.6289803220035779</v>
      </c>
      <c r="AP14" s="1174" t="str">
        <f t="shared" si="2"/>
        <v xml:space="preserve"> - </v>
      </c>
      <c r="AQ14" s="1174">
        <f>IF(ISNUMBER((H14-W14+K14)/(F14)),(H14-W14+K14)/(F14)," - ")</f>
        <v>-0.5</v>
      </c>
      <c r="AR14" s="1175">
        <f>IF(ISNUMBER((Datos!P14-Datos!Q14)/(Datos!R14-Datos!P14+Datos!Q14)),(Datos!P14-Datos!Q14)/(Datos!R14-Datos!P14+Datos!Q14)," - ")</f>
        <v>3.437381524074308E-2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1385</v>
      </c>
      <c r="G16" s="373">
        <f>IF(ISNUMBER(IF(D_I="SI",Datos!I16,Datos!I16+Datos!AC16)),IF(D_I="SI",Datos!I16,Datos!I16+Datos!AC16)," - ")</f>
        <v>1357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3101</v>
      </c>
      <c r="X16" s="240">
        <f>IF(ISNUMBER(Datos!Q16),Datos!Q16," - ")</f>
        <v>130</v>
      </c>
      <c r="Y16" s="374">
        <f>SUM(W16)</f>
        <v>3101</v>
      </c>
      <c r="Z16" s="375" t="str">
        <f>IF(ISNUMBER(Datos!CC16),Datos!CC16," - ")</f>
        <v xml:space="preserve"> - </v>
      </c>
      <c r="AA16" s="372">
        <f>IF(ISNUMBER(IF(D_I="SI",Datos!L16,Datos!L16+Datos!AF16)),IF(D_I="SI",Datos!L16,Datos!L16+Datos!AF16)," - ")</f>
        <v>1254</v>
      </c>
      <c r="AB16" s="374">
        <f>IF(ISNUMBER(Datos!R16),Datos!R16," - ")</f>
        <v>174</v>
      </c>
      <c r="AC16" s="374">
        <f t="shared" ref="AC16:AC22" si="8">IF(ISNUMBER(AA16+AB16),AA16+AB16," - ")</f>
        <v>1428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381</v>
      </c>
      <c r="AJ16" s="245" t="str">
        <f>IF(ISNUMBER(Datos!BW16),Datos!BW16," - ")</f>
        <v xml:space="preserve"> - </v>
      </c>
      <c r="AK16" s="246" t="str">
        <f>IF(ISNUMBER(Datos!BX16),Datos!BX16," - ")</f>
        <v xml:space="preserve"> - </v>
      </c>
      <c r="AL16" s="266">
        <f>IF(ISNUMBER(NºAsuntos!G16/NºAsuntos!E16),NºAsuntos!G16/NºAsuntos!E16," - ")</f>
        <v>1.0441077441077442</v>
      </c>
      <c r="AM16" s="284">
        <f>IF(ISNUMBER(((NºAsuntos!I16/NºAsuntos!G16)*11)/factor_trimestre),((NºAsuntos!I16/NºAsuntos!G16)*11)/factor_trimestre," - ")</f>
        <v>1.2131570461141568</v>
      </c>
      <c r="AN16" s="267">
        <f>IF(ISNUMBER('Resol  Asuntos'!D16/NºAsuntos!G16),'Resol  Asuntos'!D16/NºAsuntos!G16," - ")</f>
        <v>0.12286359238955176</v>
      </c>
      <c r="AO16" s="268">
        <f>IF(ISNUMBER((NºAsuntos!C16+NºAsuntos!E16)/NºAsuntos!G16),(NºAsuntos!C16+NºAsuntos!E16)/NºAsuntos!G16," - ")</f>
        <v>1.3953563366655917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42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219</v>
      </c>
      <c r="X18" s="240">
        <f>IF(ISNUMBER(Datos!Q18),Datos!Q18," - ")</f>
        <v>5</v>
      </c>
      <c r="Y18" s="374">
        <f t="shared" si="9"/>
        <v>224</v>
      </c>
      <c r="Z18" s="375" t="str">
        <f>IF(ISNUMBER(Datos!CC18),Datos!CC18," - ")</f>
        <v xml:space="preserve"> - </v>
      </c>
      <c r="AA18" s="372">
        <f>IF(ISNUMBER(Datos!L18),Datos!L18,"-")</f>
        <v>39</v>
      </c>
      <c r="AB18" s="374">
        <f>IF(ISNUMBER(Datos!R18),Datos!R18," - ")</f>
        <v>17</v>
      </c>
      <c r="AC18" s="374">
        <f t="shared" si="8"/>
        <v>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44</v>
      </c>
      <c r="AJ18" s="245" t="str">
        <f>IF(ISNUMBER(Datos!BW18),Datos!BW18," - ")</f>
        <v xml:space="preserve"> - </v>
      </c>
      <c r="AK18" s="246" t="str">
        <f>IF(ISNUMBER(Datos!BX18),Datos!BX18," - ")</f>
        <v xml:space="preserve"> - </v>
      </c>
      <c r="AL18" s="266">
        <f>IF(ISNUMBER(NºAsuntos!G18/NºAsuntos!E18),NºAsuntos!G18/NºAsuntos!E18," - ")</f>
        <v>1.0138888888888888</v>
      </c>
      <c r="AM18" s="284">
        <f>IF(ISNUMBER(((NºAsuntos!I18/NºAsuntos!G18)*11)/factor_trimestre),((NºAsuntos!I18/NºAsuntos!G18)*11)/factor_trimestre," - ")</f>
        <v>0.53424657534246578</v>
      </c>
      <c r="AN18" s="267">
        <f>IF(ISNUMBER('Resol  Asuntos'!D18/NºAsuntos!G18),'Resol  Asuntos'!D18/NºAsuntos!G18," - ")</f>
        <v>0.20091324200913241</v>
      </c>
      <c r="AO18" s="268">
        <f>IF(ISNUMBER((NºAsuntos!C18+NºAsuntos!E18)/NºAsuntos!G18),(NºAsuntos!C18+NºAsuntos!E18)/NºAsuntos!G18," - ")</f>
        <v>1.178082191780822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1385</v>
      </c>
      <c r="G23" s="1163">
        <f>SUBTOTAL(9,G16:G22)</f>
        <v>1399</v>
      </c>
      <c r="H23" s="1162">
        <f t="shared" ref="H23:O23" si="13">SUBTOTAL(9,H15:H22)</f>
        <v>0</v>
      </c>
      <c r="I23" s="1164">
        <f t="shared" si="13"/>
        <v>0</v>
      </c>
      <c r="J23" s="1164">
        <f t="shared" si="13"/>
        <v>0</v>
      </c>
      <c r="K23" s="1164">
        <f t="shared" si="13"/>
        <v>0</v>
      </c>
      <c r="L23" s="1164">
        <f t="shared" si="13"/>
        <v>129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3320</v>
      </c>
      <c r="X23" s="1164">
        <f t="shared" si="14"/>
        <v>135</v>
      </c>
      <c r="Y23" s="1165">
        <f t="shared" si="14"/>
        <v>3325</v>
      </c>
      <c r="Z23" s="1165">
        <f t="shared" si="14"/>
        <v>0</v>
      </c>
      <c r="AA23" s="1165">
        <f t="shared" si="14"/>
        <v>1293</v>
      </c>
      <c r="AB23" s="1165">
        <f t="shared" si="14"/>
        <v>191</v>
      </c>
      <c r="AC23" s="1165">
        <f t="shared" si="14"/>
        <v>1484</v>
      </c>
      <c r="AD23" s="1165">
        <f t="shared" si="14"/>
        <v>0</v>
      </c>
      <c r="AE23" s="1169">
        <f t="shared" si="14"/>
        <v>0</v>
      </c>
      <c r="AF23" s="1162">
        <f t="shared" si="14"/>
        <v>0</v>
      </c>
      <c r="AG23" s="1170">
        <f t="shared" si="14"/>
        <v>0</v>
      </c>
      <c r="AH23" s="1167">
        <f t="shared" si="14"/>
        <v>0</v>
      </c>
      <c r="AI23" s="1162">
        <f t="shared" si="14"/>
        <v>425</v>
      </c>
      <c r="AJ23" s="1164">
        <f t="shared" si="14"/>
        <v>0</v>
      </c>
      <c r="AK23" s="1167">
        <f t="shared" si="14"/>
        <v>0</v>
      </c>
      <c r="AL23" s="1171">
        <f>IF(ISNUMBER(NºAsuntos!G23/NºAsuntos!E23),NºAsuntos!G23/NºAsuntos!E23," - ")</f>
        <v>1.0420590081607031</v>
      </c>
      <c r="AM23" s="1171">
        <f>IF(ISNUMBER(((NºAsuntos!I23/NºAsuntos!G23)*11)/factor_trimestre),((NºAsuntos!I23/NºAsuntos!G23)*11)/factor_trimestre," - ")</f>
        <v>1.1683734939759036</v>
      </c>
      <c r="AN23" s="1172">
        <f>IF(ISNUMBER('Resol  Asuntos'!D23/NºAsuntos!G23),'Resol  Asuntos'!D23/NºAsuntos!G23," - ")</f>
        <v>0.12801204819277109</v>
      </c>
      <c r="AO23" s="1173">
        <f>IF(ISNUMBER((NºAsuntos!C23+NºAsuntos!E23)/NºAsuntos!G23),(NºAsuntos!C23+NºAsuntos!E23)/NºAsuntos!G23," - ")</f>
        <v>1.3810240963855422</v>
      </c>
      <c r="AP23" s="1174" t="str">
        <f t="shared" si="2"/>
        <v xml:space="preserve"> - </v>
      </c>
      <c r="AQ23" s="1174">
        <f>IF(ISNUMBER((H23-W23+K23)/(F23)),(H23-W23+K23)/(F23)," - ")</f>
        <v>-2.3971119133574006</v>
      </c>
      <c r="AR23" s="1175">
        <f>IF(ISNUMBER((Datos!P23-Datos!Q23)/(Datos!R23-Datos!P23+Datos!Q23)),(Datos!P23-Datos!Q23)/(Datos!R23-Datos!P23+Datos!Q23)," - ")</f>
        <v>-3.0456852791878174E-2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1447</v>
      </c>
      <c r="G31" s="1118">
        <f t="shared" si="20"/>
        <v>1461</v>
      </c>
      <c r="H31" s="1117">
        <f t="shared" si="20"/>
        <v>0</v>
      </c>
      <c r="I31" s="1119">
        <f t="shared" si="20"/>
        <v>0</v>
      </c>
      <c r="J31" s="1119">
        <f t="shared" si="20"/>
        <v>0</v>
      </c>
      <c r="K31" s="1180">
        <f t="shared" si="20"/>
        <v>0</v>
      </c>
      <c r="L31" s="1119">
        <f t="shared" si="20"/>
        <v>836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3351</v>
      </c>
      <c r="X31" s="1118">
        <f t="shared" si="21"/>
        <v>570</v>
      </c>
      <c r="Y31" s="1125">
        <f t="shared" si="21"/>
        <v>3791</v>
      </c>
      <c r="Z31" s="1125">
        <f t="shared" si="21"/>
        <v>0</v>
      </c>
      <c r="AA31" s="1125">
        <f t="shared" si="21"/>
        <v>1364</v>
      </c>
      <c r="AB31" s="1125">
        <f t="shared" si="21"/>
        <v>8376</v>
      </c>
      <c r="AC31" s="1125">
        <f t="shared" si="21"/>
        <v>1632</v>
      </c>
      <c r="AD31" s="1125">
        <f t="shared" si="21"/>
        <v>0</v>
      </c>
      <c r="AE31" s="1127">
        <f t="shared" si="21"/>
        <v>0</v>
      </c>
      <c r="AF31" s="1128">
        <f t="shared" si="21"/>
        <v>0</v>
      </c>
      <c r="AG31" s="1129">
        <f t="shared" si="21"/>
        <v>0</v>
      </c>
      <c r="AH31" s="1127">
        <f t="shared" si="21"/>
        <v>0</v>
      </c>
      <c r="AI31" s="1117">
        <f t="shared" si="21"/>
        <v>1076</v>
      </c>
      <c r="AJ31" s="1117">
        <f t="shared" si="21"/>
        <v>0</v>
      </c>
      <c r="AK31" s="1127">
        <f t="shared" si="21"/>
        <v>0</v>
      </c>
      <c r="AL31" s="1183">
        <f>IF(ISNUMBER(NºAsuntos!G31/NºAsuntos!E31),NºAsuntos!G31/NºAsuntos!E31," - ")</f>
        <v>1.0036107008042014</v>
      </c>
      <c r="AM31" s="1184">
        <f>IF(ISNUMBER(((NºAsuntos!I31/NºAsuntos!G31)*11)/factor_trimestre),((NºAsuntos!I31/NºAsuntos!G31)*11)/factor_trimestre," - ")</f>
        <v>2.7713818479149634</v>
      </c>
      <c r="AN31" s="1184">
        <f>IF(ISNUMBER('Resol  Asuntos'!D31/NºAsuntos!G31),'Resol  Asuntos'!D31/NºAsuntos!G31," - ")</f>
        <v>0.17596075224856908</v>
      </c>
      <c r="AO31" s="1185">
        <f>IF(ISNUMBER((NºAsuntos!C31+NºAsuntos!E31)/NºAsuntos!G31),(NºAsuntos!C31+NºAsuntos!E31)/NºAsuntos!G31," - ")</f>
        <v>1.9514309076042518</v>
      </c>
      <c r="AP31" s="1186" t="str">
        <f t="shared" si="2"/>
        <v xml:space="preserve"> - </v>
      </c>
      <c r="AQ31" s="1187">
        <f>IF(OR(ISNUMBER(FIND("01",Criterios!A8,1)),ISNUMBER(FIND("02",Criterios!A8,1)),ISNUMBER(FIND("03",Criterios!A8,1)),ISNUMBER(FIND("04",Criterios!A8,1))),(I31-W31+K31)/(F31-K31),(H31-W31+K31)/(F31-K31))</f>
        <v>-2.3158258465791293</v>
      </c>
      <c r="AR31" s="1188">
        <f>IF(ISNUMBER((Datos!P31-Datos!Q31)/(Datos!R31-Datos!P31+Datos!Q31)),(Datos!P31-Datos!Q31)/(Datos!R31-Datos!P31+Datos!Q31)," - ")</f>
        <v>3.2799013563501851E-2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417.42857142857144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2.4542599318054101</v>
      </c>
      <c r="F33" s="276">
        <f>IF(ISNUMBER(STDEV(F8:F30)),STDEV(F8:F30),"-")</f>
        <v>699.75214659668359</v>
      </c>
      <c r="G33" s="277">
        <f>IF(ISNUMBER(STDEV(G8:G30)),STDEV(G8:G30),"-")</f>
        <v>656.80739367104604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1542.2817357347367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247.57301953161212</v>
      </c>
      <c r="AJ33" s="276">
        <f t="shared" si="25"/>
        <v>0</v>
      </c>
      <c r="AK33" s="278">
        <f t="shared" si="25"/>
        <v>0</v>
      </c>
      <c r="AL33" s="273">
        <f t="shared" si="25"/>
        <v>9.8491750012156432E-2</v>
      </c>
      <c r="AM33" s="274">
        <f t="shared" si="25"/>
        <v>2.4093080555744515</v>
      </c>
      <c r="AN33" s="274">
        <f t="shared" si="25"/>
        <v>0.15639153763566788</v>
      </c>
      <c r="AO33" s="275">
        <f t="shared" si="25"/>
        <v>0.81978088704215724</v>
      </c>
      <c r="AP33" s="317" t="str">
        <f t="shared" si="25"/>
        <v>-</v>
      </c>
      <c r="AQ33" s="318">
        <f t="shared" si="25"/>
        <v>1.3414606986048039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wGBAjwwdM5Y8Tyo/URTFQ0WuPTuXY9X2LJe0Pcm2hOcJRaddCjdioPJYWoI9T6Hognl5seMaSFg4IETeaHVnQ==" saltValue="/QeTRL/Dgb5BmuRTXToq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BADAJOZ</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7.8774617067833702E-2</v>
      </c>
      <c r="I9" s="395">
        <f>IF(ISNUMBER((Tasas!C9-Datos!BE9)/Datos!BE9),(Tasas!C9-Datos!BE9)/Datos!BE9," - ")</f>
        <v>-0.21009776070852001</v>
      </c>
      <c r="J9" s="394">
        <f>IF(ISNUMBER((Tasas!D9-Datos!BF9)/Datos!BF9),(Tasas!D9-Datos!BF9)/Datos!BF9," - ")</f>
        <v>-0.36200343378130362</v>
      </c>
      <c r="K9" s="396">
        <f>IF(ISNUMBER((Tasas!E9-Datos!BG9)/Datos!BG9),(Tasas!E9-Datos!BG9)/Datos!BG9," - ")</f>
        <v>-0.1114354339911332</v>
      </c>
      <c r="M9" t="e">
        <f>IF(Monitorios="SI",Datos!CE9,0)</f>
        <v>#REF!</v>
      </c>
      <c r="N9" t="e">
        <f>IF(Monitorios="SI",Datos!CF9,0)</f>
        <v>#REF!</v>
      </c>
      <c r="O9" t="e">
        <f>IF(Monitorios="SI",Datos!CG9,0)</f>
        <v>#REF!</v>
      </c>
      <c r="P9" t="e">
        <f>IF(Monitorios="SI",Datos!CH9,0)</f>
        <v>#REF!</v>
      </c>
      <c r="Q9">
        <f>IF(J_V="SI",0,Datos!AG9)</f>
        <v>153</v>
      </c>
      <c r="R9">
        <f>IF(J_V="SI",0,Datos!AH9)</f>
        <v>137</v>
      </c>
      <c r="S9">
        <f>IF(J_V="SI",0,Datos!AI9)</f>
        <v>149</v>
      </c>
      <c r="T9">
        <f>IF(J_V="SI",0,Datos!AJ9)</f>
        <v>141</v>
      </c>
    </row>
    <row r="10" spans="2:20" ht="14.25">
      <c r="B10" s="300" t="s">
        <v>317</v>
      </c>
      <c r="C10" s="7" t="str">
        <f>Datos!A10</f>
        <v>Jdos. Violencia contra la mujer</v>
      </c>
      <c r="D10" s="397">
        <f>IF(ISNUMBER((Datos!I10-Datos!S10)/Datos!S10),(Datos!I10-Datos!S10)/Datos!S10," - ")</f>
        <v>0.26530612244897961</v>
      </c>
      <c r="E10" s="393">
        <f>IF(ISNUMBER((Datos!J10-Datos!T10)/Datos!T10),(Datos!J10-Datos!T10)/Datos!T10," - ")</f>
        <v>-2.4390243902439025E-2</v>
      </c>
      <c r="F10" s="393">
        <f>IF(ISNUMBER((Datos!K10-Datos!U10)/Datos!U10),(Datos!K10-Datos!U10)/Datos!U10," - ")</f>
        <v>0</v>
      </c>
      <c r="G10" s="394">
        <f>IF(ISNUMBER((Datos!L10-Datos!V10)/Datos!V10),(Datos!L10-Datos!V10)/Datos!V10," - ")</f>
        <v>0.20338983050847459</v>
      </c>
      <c r="H10" s="244">
        <f>IF(ISNUMBER((Datos!M10-Datos!W10)/Datos!W10),(Datos!M10-Datos!W10)/Datos!W10," - ")</f>
        <v>0.13333333333333333</v>
      </c>
      <c r="I10" s="395">
        <f>IF(ISNUMBER((Tasas!C10-Datos!BE10)/Datos!BE10),(Tasas!C10-Datos!BE10)/Datos!BE10," - ")</f>
        <v>0.20338983050847462</v>
      </c>
      <c r="J10" s="394">
        <f>IF(ISNUMBER((Tasas!D10-Datos!BF10)/Datos!BF10),(Tasas!D10-Datos!BF10)/Datos!BF10," - ")</f>
        <v>0.13333333333333322</v>
      </c>
      <c r="K10" s="396">
        <f>IF(ISNUMBER((Tasas!E10-Datos!BG10)/Datos!BG10),(Tasas!E10-Datos!BG10)/Datos!BG10," - ")</f>
        <v>0.13333333333333336</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-0.16071428571428573</v>
      </c>
      <c r="I11" s="395">
        <f>IF(ISNUMBER((Tasas!C11-Datos!BE11)/Datos!BE11),(Tasas!C11-Datos!BE11)/Datos!BE11," - ")</f>
        <v>-0.12538471066899165</v>
      </c>
      <c r="J11" s="394">
        <f>IF(ISNUMBER((Tasas!D11-Datos!BF11)/Datos!BF11),(Tasas!D11-Datos!BF11)/Datos!BF11," - ")</f>
        <v>0.35931969265302605</v>
      </c>
      <c r="K11" s="396">
        <f>IF(ISNUMBER((Tasas!E11-Datos!BG11)/Datos!BG11),(Tasas!E11-Datos!BG11)/Datos!BG11," - ")</f>
        <v>-9.5869396185518457E-2</v>
      </c>
      <c r="M11" t="e">
        <f>IF(Monitorios="SI",Datos!CE11,0)</f>
        <v>#REF!</v>
      </c>
      <c r="N11" t="e">
        <f>IF(Monitorios="SI",Datos!CF11,0)</f>
        <v>#REF!</v>
      </c>
      <c r="O11" t="e">
        <f>IF(Monitorios="SI",Datos!CG11,0)</f>
        <v>#REF!</v>
      </c>
      <c r="P11" t="e">
        <f>IF(Monitorios="SI",Datos!CH11,0)</f>
        <v>#REF!</v>
      </c>
      <c r="Q11">
        <f>IF(J_V="SI",0,Datos!AG11)</f>
        <v>22</v>
      </c>
      <c r="R11">
        <f>IF(J_V="SI",0,Datos!AH11)</f>
        <v>43</v>
      </c>
      <c r="S11">
        <f>IF(J_V="SI",0,Datos!AI11)</f>
        <v>27</v>
      </c>
      <c r="T11">
        <f>IF(J_V="SI",0,Datos!AJ11)</f>
        <v>38</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1.7187500000000001E-2</v>
      </c>
      <c r="I14" s="402">
        <f>IF(ISNUMBER((Tasas!C14-Datos!BE14)/Datos!BE14),(Tasas!C14-Datos!BE14)/Datos!BE14," - ")</f>
        <v>-0.19376829494919096</v>
      </c>
      <c r="J14" s="400">
        <f>IF(ISNUMBER((Tasas!D14-Datos!BF14)/Datos!BF14),(Tasas!D14-Datos!BF14)/Datos!BF14," - ")</f>
        <v>-0.26872942061055027</v>
      </c>
      <c r="K14" s="403">
        <f>IF(ISNUMBER((Tasas!E14-Datos!BG14)/Datos!BG14),(Tasas!E14-Datos!BG14)/Datos!BG14," - ")</f>
        <v>-0.10668444561441547</v>
      </c>
      <c r="M14" t="e">
        <f>IF(Monitorios="SI",Datos!CE14,0)</f>
        <v>#REF!</v>
      </c>
      <c r="N14" t="e">
        <f>IF(Monitorios="SI",Datos!CF14,0)</f>
        <v>#REF!</v>
      </c>
      <c r="O14" t="e">
        <f>IF(Monitorios="SI",Datos!CG14,0)</f>
        <v>#REF!</v>
      </c>
      <c r="P14" t="e">
        <f>IF(Monitorios="SI",Datos!CH14,0)</f>
        <v>#REF!</v>
      </c>
      <c r="Q14">
        <f>IF(J_V="SI",0,Datos!AG14)</f>
        <v>175</v>
      </c>
      <c r="R14">
        <f>IF(J_V="SI",0,Datos!AH14)</f>
        <v>180</v>
      </c>
      <c r="S14">
        <f>IF(J_V="SI",0,Datos!AI14)</f>
        <v>176</v>
      </c>
      <c r="T14">
        <f>IF(J_V="SI",0,Datos!AJ14)</f>
        <v>179</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-2.7936962750716332E-2</v>
      </c>
      <c r="E16" s="393">
        <f>IF(ISNUMBER(
   IF(D_I="SI",(Datos!J16-Datos!T16)/Datos!T16,(Datos!J16+Datos!AD16-(Datos!T16+Datos!AL16))/(Datos!T16+Datos!AL16))
     ),IF(D_I="SI",(Datos!J16-Datos!T16)/Datos!T16,(Datos!J16+Datos!AD16-(Datos!T16+Datos!AL16))/(Datos!T16+Datos!AL16))," - ")</f>
        <v>0.1423076923076923</v>
      </c>
      <c r="F16" s="393">
        <f>IF(ISNUMBER(
   IF(D_I="SI",(Datos!K16-Datos!U16)/Datos!U16,(Datos!K16+Datos!AE16-(Datos!U16+Datos!AM16))/(Datos!U16+Datos!AM16))
     ),IF(D_I="SI",(Datos!K16-Datos!U16)/Datos!U16,(Datos!K16+Datos!AE16-(Datos!U16+Datos!AM16))/(Datos!U16+Datos!AM16))," - ")</f>
        <v>0.13299232736572891</v>
      </c>
      <c r="G16" s="394">
        <f>IF(ISNUMBER(
   IF(D_I="SI",(Datos!L16-Datos!V16)/Datos!V16,(Datos!L16+Datos!AF16-(Datos!V16+Datos!AN16))/(Datos!V16+Datos!AN16))
     ),IF(D_I="SI",(Datos!L16-Datos!V16)/Datos!V16,(Datos!L16+Datos!AF16-(Datos!V16+Datos!AN16))/(Datos!V16+Datos!AN16))," - ")</f>
        <v>-2.7152831652443754E-2</v>
      </c>
      <c r="H16" s="244">
        <f>IF(ISNUMBER((Datos!M16-Datos!W16)/Datos!W16),(Datos!M16-Datos!W16)/Datos!W16," - ")</f>
        <v>-5.6930693069306933E-2</v>
      </c>
      <c r="I16" s="395">
        <f>IF(ISNUMBER((Tasas!C16-Datos!BE16)/Datos!BE16),(Tasas!C16-Datos!BE16)/Datos!BE16," - ")</f>
        <v>-0.14134708166163773</v>
      </c>
      <c r="J16" s="394">
        <f>IF(ISNUMBER((Tasas!D16-Datos!BF16)/Datos!BF16),(Tasas!D16-Datos!BF16)/Datos!BF16," - ")</f>
        <v>-0.16762957334108125</v>
      </c>
      <c r="K16" s="396">
        <f>IF(ISNUMBER((Tasas!E16-Datos!BG16)/Datos!BG16),(Tasas!E16-Datos!BG16)/Datos!BG16," - ")</f>
        <v>-4.4271698334903846E-2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-0.34375</v>
      </c>
      <c r="E18" s="393">
        <f>IF(ISNUMBER(
   IF(D_I="SI",(Datos!J18-Datos!T18)/Datos!T18,(Datos!J18+Datos!AD18-(Datos!T18+Datos!AL18))/(Datos!T18+Datos!AL18))
     ),IF(D_I="SI",(Datos!J18-Datos!T18)/Datos!T18,(Datos!J18+Datos!AD18-(Datos!T18+Datos!AL18))/(Datos!T18+Datos!AL18))," - ")</f>
        <v>-1.8181818181818181E-2</v>
      </c>
      <c r="F18" s="393">
        <f>IF(ISNUMBER(
   IF(D_I="SI",(Datos!K18-Datos!U18)/Datos!U18,(Datos!K18+Datos!AE18-(Datos!U18+Datos!AM18))/(Datos!U18+Datos!AM18))
     ),IF(D_I="SI",(Datos!K18-Datos!U18)/Datos!U18,(Datos!K18+Datos!AE18-(Datos!U18+Datos!AM18))/(Datos!U18+Datos!AM18))," - ")</f>
        <v>-4.3668122270742356E-2</v>
      </c>
      <c r="G18" s="394">
        <f>IF(ISNUMBER(
   IF(D_I="SI",(Datos!L18-Datos!V18)/Datos!V18,(Datos!L18+Datos!AF18-(Datos!V18+Datos!AN18))/(Datos!V18+Datos!AN18))
     ),IF(D_I="SI",(Datos!L18-Datos!V18)/Datos!V18,(Datos!L18+Datos!AF18-(Datos!V18+Datos!AN18))/(Datos!V18+Datos!AN18))," - ")</f>
        <v>-0.29090909090909089</v>
      </c>
      <c r="H18" s="244">
        <f>IF(ISNUMBER((Datos!M18-Datos!W18)/Datos!W18),(Datos!M18-Datos!W18)/Datos!W18," - ")</f>
        <v>0</v>
      </c>
      <c r="I18" s="395">
        <f>IF(ISNUMBER((Tasas!C18-Datos!BE18)/Datos!BE18),(Tasas!C18-Datos!BE18)/Datos!BE18," - ")</f>
        <v>-0.25853051058530518</v>
      </c>
      <c r="J18" s="394">
        <f>IF(ISNUMBER((Tasas!D18-Datos!BF18)/Datos!BF18),(Tasas!D18-Datos!BF18)/Datos!BF18," - ")</f>
        <v>4.5662100456620926E-2</v>
      </c>
      <c r="K18" s="396">
        <f>IF(ISNUMBER((Tasas!E18-Datos!BG18)/Datos!BG18),(Tasas!E18-Datos!BG18)/Datos!BG18," - ")</f>
        <v>-5.0067528458421731E-2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-4.1780821917808221E-2</v>
      </c>
      <c r="E23" s="399">
        <f>IF(ISNUMBER(
   IF(D_I="SI",(Datos!J23-Datos!T23)/Datos!T23,(Datos!J23+Datos!AD23-(Datos!T23+Datos!AL23))/(Datos!T23+Datos!AL23))
     ),IF(D_I="SI",(Datos!J23-Datos!T23)/Datos!T23,(Datos!J23+Datos!AD23-(Datos!T23+Datos!AL23))/(Datos!T23+Datos!AL23))," - ")</f>
        <v>0.12978723404255318</v>
      </c>
      <c r="F23" s="399">
        <f>IF(ISNUMBER(
   IF(D_I="SI",(Datos!K23-Datos!U23)/Datos!U23,(Datos!K23+Datos!AE23-(Datos!U23+Datos!AM23))/(Datos!U23+Datos!AM23))
     ),IF(D_I="SI",(Datos!K23-Datos!U23)/Datos!U23,(Datos!K23+Datos!AE23-(Datos!U23+Datos!AM23))/(Datos!U23+Datos!AM23))," - ")</f>
        <v>0.11935266351989211</v>
      </c>
      <c r="G23" s="400">
        <f>IF(ISNUMBER(
   IF(D_I="SI",(Datos!L23-Datos!V23)/Datos!V23,(Datos!L23+Datos!AF23-(Datos!V23+Datos!AN23))/(Datos!V23+Datos!AN23))
     ),IF(D_I="SI",(Datos!L23-Datos!V23)/Datos!V23,(Datos!L23+Datos!AF23-(Datos!V23+Datos!AN23))/(Datos!V23+Datos!AN23))," - ")</f>
        <v>-3.7946428571428568E-2</v>
      </c>
      <c r="H23" s="401">
        <f>IF(ISNUMBER((Datos!M23-Datos!W23)/Datos!W23),(Datos!M23-Datos!W23)/Datos!W23," - ")</f>
        <v>-5.1339285714285712E-2</v>
      </c>
      <c r="I23" s="402">
        <f>IF(ISNUMBER((Tasas!C23-Datos!BE23)/Datos!BE23),(Tasas!C23-Datos!BE23)/Datos!BE23," - ")</f>
        <v>-0.14052683950086059</v>
      </c>
      <c r="J23" s="400">
        <f>IF(ISNUMBER((Tasas!D23-Datos!BF23)/Datos!BF23),(Tasas!D23-Datos!BF23)/Datos!BF23," - ")</f>
        <v>-0.15249166308089496</v>
      </c>
      <c r="K23" s="403">
        <f>IF(ISNUMBER((Tasas!E23-Datos!BG23)/Datos!BG23),(Tasas!E23-Datos!BG23)/Datos!BG23," - ")</f>
        <v>-4.2963207972075174E-2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2.1872265966754154E-2</v>
      </c>
      <c r="E31" s="409">
        <f>IF(ISNUMBER(
   IF(J_V="SI",(Datos!J31-Datos!T31)/Datos!T31,(Datos!J31+Datos!Z31-(Datos!T31+Datos!AH31))/(Datos!T31+Datos!AH31))
     ),IF(J_V="SI",(Datos!J31-Datos!T31)/Datos!T31,(Datos!J31+Datos!Z31-(Datos!T31+Datos!AH31))/(Datos!T31+Datos!AH31))," - ")</f>
        <v>0.19096950742767788</v>
      </c>
      <c r="F31" s="409">
        <f>IF(ISNUMBER(
   IF(J_V="SI",(Datos!K31-Datos!U31)/Datos!U31,(Datos!K31+Datos!AA31-(Datos!U31+Datos!AI31))/(Datos!U31+Datos!AI31))
     ),IF(J_V="SI",(Datos!K31-Datos!U31)/Datos!U31,(Datos!K31+Datos!AA31-(Datos!U31+Datos!AI31))/(Datos!U31+Datos!AI31))," - ")</f>
        <v>0.17777349768875192</v>
      </c>
      <c r="G31" s="410">
        <f>IF(ISNUMBER(
   IF(J_V="SI",(Datos!L31-Datos!V31)/Datos!V31,(Datos!L31+Datos!AB31-(Datos!V31+Datos!AJ31))/(Datos!V31+Datos!AJ31))
     ),IF(J_V="SI",(Datos!L31-Datos!V31)/Datos!V31,(Datos!L31+Datos!AB31-(Datos!V31+Datos!AJ31))/(Datos!V31+Datos!AJ31))," - ")</f>
        <v>3.5417035594120772E-4</v>
      </c>
      <c r="H31" s="411">
        <f>IF(ISNUMBER((Datos!M31-Datos!W31)/Datos!W31),(Datos!M31-Datos!W31)/Datos!W31," - ")</f>
        <v>-1.1029411764705883E-2</v>
      </c>
      <c r="I31" s="408">
        <f>IF(ISNUMBER((Tasas!C31-Datos!BE31)/Datos!BE31),(Tasas!C31-Datos!BE31)/Datos!BE31," - ")</f>
        <v>-0.15063959893899476</v>
      </c>
      <c r="J31" s="409">
        <f>IF(ISNUMBER((Tasas!D31-Datos!BF31)/Datos!BF31),(Tasas!D31-Datos!BF31)/Datos!BF31," - ")</f>
        <v>-0.21038182742042294</v>
      </c>
      <c r="K31" s="410">
        <f>IF(ISNUMBER((Tasas!E31-Datos!BG31)/Datos!BG31),(Tasas!E31-Datos!BG31)/Datos!BG31," - ")</f>
        <v>-6.4552740071897818E-2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0.24872310074918041</v>
      </c>
      <c r="E33" s="303">
        <f t="shared" si="1"/>
        <v>9.1015532768054921E-2</v>
      </c>
      <c r="F33" s="303">
        <f t="shared" si="1"/>
        <v>8.7468877239031836E-2</v>
      </c>
      <c r="G33" s="304">
        <f t="shared" si="1"/>
        <v>0.20194853042833327</v>
      </c>
      <c r="H33" s="310">
        <f t="shared" si="1"/>
        <v>9.6401510257716538E-2</v>
      </c>
      <c r="I33" s="302">
        <f t="shared" si="1"/>
        <v>0.15173361746692493</v>
      </c>
      <c r="J33" s="303">
        <f t="shared" si="1"/>
        <v>0.25142135526587767</v>
      </c>
      <c r="K33" s="304">
        <f t="shared" si="1"/>
        <v>8.4299287730333031E-2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PnpC0cxiK1c+s30NNgcuOrdq4ZE1zu8A9yetOu/4yKBM/aIcPy23W1c/F1ByZwdem9IeXxts7jhtyne5JMLSg==" saltValue="OEci5H1nWCi4HVPtl/8zj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